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showInkAnnotation="0"/>
  <mc:AlternateContent xmlns:mc="http://schemas.openxmlformats.org/markup-compatibility/2006">
    <mc:Choice Requires="x15">
      <x15ac:absPath xmlns:x15ac="http://schemas.microsoft.com/office/spreadsheetml/2010/11/ac" url="C:\Users\Lucas\Documents\Ufes\Site DCOS\2 - CL - Comissão de Licitação\Pregões Eletrônicos\2022\54\"/>
    </mc:Choice>
  </mc:AlternateContent>
  <xr:revisionPtr revIDLastSave="0" documentId="8_{5E0A4851-BC3C-4424-B2EF-7C41CEFF65F6}" xr6:coauthVersionLast="47" xr6:coauthVersionMax="47" xr10:uidLastSave="{00000000-0000-0000-0000-000000000000}"/>
  <bookViews>
    <workbookView xWindow="-108" yWindow="-108" windowWidth="23256" windowHeight="12576" tabRatio="846" activeTab="6"/>
  </bookViews>
  <sheets>
    <sheet name="Postos por Campus" sheetId="70" r:id="rId1"/>
    <sheet name="GLOBALIZADORA" sheetId="32" state="hidden" r:id="rId2"/>
    <sheet name="Compl. vigilância" sheetId="3" state="hidden" r:id="rId3"/>
    <sheet name="Compl. limpeza" sheetId="4" state="hidden" r:id="rId4"/>
    <sheet name="VR antigo até 18.08" sheetId="38" state="hidden" r:id="rId5"/>
    <sheet name="VR antigo após 18.08" sheetId="42" state="hidden" r:id="rId6"/>
    <sheet name="Quadro resumo por lote" sheetId="48" r:id="rId7"/>
    <sheet name="BASE DE CÁLCULO" sheetId="5" r:id="rId8"/>
    <sheet name="Armazenista Item 1.01" sheetId="72" r:id="rId9"/>
    <sheet name="At. de Refeitório Item 1.02" sheetId="73" r:id="rId10"/>
    <sheet name="Aux. Cozinha I Item 1.03" sheetId="74" r:id="rId11"/>
    <sheet name="Aux. Cozinha II Item 1.04" sheetId="75" r:id="rId12"/>
    <sheet name="Aux. Cozinha III Item 1.05" sheetId="76" r:id="rId13"/>
    <sheet name="Cozinheiro Item 1.06" sheetId="77" r:id="rId14"/>
    <sheet name="ASG I Item 1.07" sheetId="78" r:id="rId15"/>
    <sheet name="ASG II Item 1.08" sheetId="79" r:id="rId16"/>
    <sheet name="Sup. de Cozinha Item 1.09" sheetId="80" r:id="rId17"/>
    <sheet name="Enc. Serviços Gerais Item 1.10" sheetId="81" r:id="rId18"/>
    <sheet name="Enc. de Manutenção Item 1.11" sheetId="82" r:id="rId19"/>
    <sheet name="Aux. de Manutenção Item 1.12" sheetId="83" r:id="rId20"/>
    <sheet name="Op. Câm. Frigorífica Item 1.13" sheetId="84" r:id="rId21"/>
    <sheet name="Armazenista Item 2.01" sheetId="85" r:id="rId22"/>
    <sheet name="At. de Refeitório Item 2.02" sheetId="86" r:id="rId23"/>
    <sheet name="Aux. Cozinha I Item 2.03" sheetId="87" r:id="rId24"/>
    <sheet name="Aux. Cozinha II Item 2.04" sheetId="88" r:id="rId25"/>
    <sheet name="Aux. Cozinha III Item 2.05" sheetId="89" r:id="rId26"/>
    <sheet name="Cozinheiro Item 2.06" sheetId="90" r:id="rId27"/>
    <sheet name="ASG I Item 2.07" sheetId="91" r:id="rId28"/>
    <sheet name="ASG II Item 2.08" sheetId="92" r:id="rId29"/>
    <sheet name="Sup. de Cozinha Item 2.09" sheetId="93" r:id="rId30"/>
    <sheet name=" Oficial de Manut. Item 2.10" sheetId="94" r:id="rId31"/>
    <sheet name="Armazenista Item 3.01" sheetId="96" r:id="rId32"/>
    <sheet name="At. de Refeitório Item 3.02" sheetId="97" r:id="rId33"/>
    <sheet name="Aux. Cozinha I Item 3.03" sheetId="98" r:id="rId34"/>
    <sheet name="Aux. Cozinha II Item 3.04" sheetId="99" r:id="rId35"/>
    <sheet name="Aux. Cozinha III Item 3.05" sheetId="100" r:id="rId36"/>
    <sheet name="Cozinheiro Item 3.06" sheetId="101" r:id="rId37"/>
    <sheet name="ASG I Item 3.07" sheetId="102" r:id="rId38"/>
    <sheet name="ASG II Item 3.08" sheetId="103" r:id="rId39"/>
    <sheet name="Sup. de Cozinha Item 3.09" sheetId="104" r:id="rId40"/>
    <sheet name="Oficial de Manut. Item 3.10" sheetId="105" r:id="rId41"/>
    <sheet name="Depreciação mensal - Vitória" sheetId="107" r:id="rId42"/>
    <sheet name="Depreciação mensal - Alegre&amp;JM" sheetId="111" r:id="rId43"/>
    <sheet name="Depreciação mensal - São Mateus" sheetId="112" r:id="rId44"/>
    <sheet name="Materiais Vitória" sheetId="115" r:id="rId45"/>
    <sheet name="Materiais Alegre&amp;JM" sheetId="113" r:id="rId46"/>
    <sheet name="Materiais São Mateus" sheetId="114" r:id="rId47"/>
    <sheet name="Modelo - Quadro resumo por lote" sheetId="106" r:id="rId48"/>
    <sheet name="Modelo - Planilha por Posto" sheetId="44" r:id="rId49"/>
  </sheets>
  <externalReferences>
    <externalReference r:id="rId50"/>
    <externalReference r:id="rId51"/>
  </externalReferences>
  <definedNames>
    <definedName name="_xlnm.Print_Area" localSheetId="7">'BASE DE CÁLCULO'!$A$1:$AZ$101</definedName>
    <definedName name="_xlnm.Print_Area" localSheetId="46">'Materiais São Mateus'!$A$1:$F$74</definedName>
    <definedName name="BASE">[1]base!$A$4:$P$5</definedName>
    <definedName name="BS">'BASE DE CÁLCULO'!$A$23:$U$35</definedName>
    <definedName name="Print_Area" localSheetId="7">'BASE DE CÁLCULO'!$B$5:$U$69</definedName>
    <definedName name="Print_Area" localSheetId="3">'Compl. limpeza'!$A$1:$G$85</definedName>
    <definedName name="Print_Area" localSheetId="1">GLOBALIZADORA!$A$1:$E$149</definedName>
    <definedName name="Print_Area" localSheetId="0">'Postos por Campus'!$B$1:$F$18</definedName>
    <definedName name="Print_Area" localSheetId="5">'VR antigo após 18.08'!$A$1:$I$70</definedName>
    <definedName name="Print_Area" localSheetId="4">'VR antigo até 18.08'!$A$1:$I$70</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 i="70" l="1"/>
  <c r="D18" i="70"/>
  <c r="E18" i="70"/>
  <c r="C4" i="32"/>
  <c r="C5" i="32"/>
  <c r="A6" i="32"/>
  <c r="C9" i="32"/>
  <c r="C12" i="32"/>
  <c r="A16" i="32"/>
  <c r="B16" i="32"/>
  <c r="D16" i="32"/>
  <c r="C29" i="32"/>
  <c r="D34" i="32"/>
  <c r="D35" i="32"/>
  <c r="D36" i="32"/>
  <c r="D37" i="32"/>
  <c r="D38" i="32"/>
  <c r="D39" i="32"/>
  <c r="D40" i="32"/>
  <c r="D41" i="32"/>
  <c r="D42" i="32"/>
  <c r="D143" i="32" s="1"/>
  <c r="D147" i="32" s="1"/>
  <c r="D46" i="32"/>
  <c r="D47" i="32"/>
  <c r="D48" i="32"/>
  <c r="D49" i="32"/>
  <c r="D50" i="32"/>
  <c r="D51" i="32"/>
  <c r="D52" i="32"/>
  <c r="D53" i="32"/>
  <c r="D58" i="32"/>
  <c r="D59" i="32"/>
  <c r="D60" i="32"/>
  <c r="D61" i="32"/>
  <c r="D62" i="32"/>
  <c r="D145" i="32"/>
  <c r="D69" i="32"/>
  <c r="E69" i="32"/>
  <c r="D70" i="32"/>
  <c r="E70" i="32"/>
  <c r="D71" i="32"/>
  <c r="E71" i="32"/>
  <c r="D72" i="32"/>
  <c r="E72" i="32"/>
  <c r="D73" i="32"/>
  <c r="E73" i="32"/>
  <c r="D74" i="32"/>
  <c r="E74" i="32"/>
  <c r="D75" i="32"/>
  <c r="E75" i="32"/>
  <c r="D76" i="32"/>
  <c r="E76" i="32"/>
  <c r="E77" i="32"/>
  <c r="D83" i="32"/>
  <c r="D84" i="32"/>
  <c r="D85" i="32"/>
  <c r="D87" i="32" s="1"/>
  <c r="D86" i="32"/>
  <c r="D91" i="32"/>
  <c r="D93" i="32"/>
  <c r="D92" i="32"/>
  <c r="D97" i="32"/>
  <c r="D103" i="32"/>
  <c r="D98" i="32"/>
  <c r="D99" i="32"/>
  <c r="C100" i="32"/>
  <c r="D100" i="32"/>
  <c r="D101" i="32"/>
  <c r="D102" i="32"/>
  <c r="D107" i="32"/>
  <c r="D108" i="32"/>
  <c r="D109" i="32"/>
  <c r="D110" i="32"/>
  <c r="D111" i="32"/>
  <c r="D112" i="32"/>
  <c r="D113" i="32"/>
  <c r="D114" i="32"/>
  <c r="D119" i="32"/>
  <c r="D125" i="32"/>
  <c r="D146" i="32"/>
  <c r="D120" i="32"/>
  <c r="D121" i="32"/>
  <c r="D122" i="32"/>
  <c r="D123" i="32"/>
  <c r="D124" i="32"/>
  <c r="D129" i="32"/>
  <c r="E129" i="32"/>
  <c r="E130" i="32"/>
  <c r="D131" i="32"/>
  <c r="E131" i="32"/>
  <c r="D132" i="32"/>
  <c r="E132" i="32"/>
  <c r="E133" i="32"/>
  <c r="D134" i="32"/>
  <c r="E134" i="32"/>
  <c r="E135" i="32"/>
  <c r="D136" i="32"/>
  <c r="E136" i="32"/>
  <c r="E137" i="32"/>
  <c r="D148" i="32"/>
  <c r="D144" i="32"/>
  <c r="E6" i="3"/>
  <c r="E12" i="3" s="1"/>
  <c r="E7" i="3"/>
  <c r="E8" i="3"/>
  <c r="E9" i="3"/>
  <c r="E10" i="3"/>
  <c r="E11" i="3"/>
  <c r="D10" i="4"/>
  <c r="D12" i="4"/>
  <c r="D14" i="4"/>
  <c r="B78" i="4" s="1"/>
  <c r="D78" i="4" s="1"/>
  <c r="D22" i="4"/>
  <c r="D26" i="4"/>
  <c r="B79" i="4" s="1"/>
  <c r="D79" i="4" s="1"/>
  <c r="D24" i="4"/>
  <c r="G35" i="4"/>
  <c r="G37" i="4"/>
  <c r="G49" i="4"/>
  <c r="G51" i="4"/>
  <c r="G53" i="4"/>
  <c r="B81" i="4" s="1"/>
  <c r="D81" i="4" s="1"/>
  <c r="D62" i="4"/>
  <c r="D64" i="4"/>
  <c r="D66" i="4"/>
  <c r="B82" i="4"/>
  <c r="D82" i="4" s="1"/>
  <c r="D83" i="4"/>
  <c r="B2" i="38"/>
  <c r="E2" i="38"/>
  <c r="H2" i="38"/>
  <c r="I2" i="38"/>
  <c r="B3" i="38"/>
  <c r="E3" i="38"/>
  <c r="H3" i="38"/>
  <c r="I3" i="38"/>
  <c r="B4" i="38"/>
  <c r="E4" i="38"/>
  <c r="H4" i="38"/>
  <c r="I4" i="38"/>
  <c r="B5" i="38"/>
  <c r="E5" i="38"/>
  <c r="H5" i="38"/>
  <c r="I5" i="38"/>
  <c r="B6" i="38"/>
  <c r="E6" i="38"/>
  <c r="H6" i="38"/>
  <c r="I6" i="38"/>
  <c r="B7" i="38"/>
  <c r="E7" i="38"/>
  <c r="G7" i="38"/>
  <c r="H7" i="38"/>
  <c r="I7" i="38" s="1"/>
  <c r="M7" i="38"/>
  <c r="N7" i="38"/>
  <c r="P7" i="38"/>
  <c r="R7" i="38"/>
  <c r="B8" i="38"/>
  <c r="E8" i="38"/>
  <c r="H8" i="38"/>
  <c r="I8" i="38" s="1"/>
  <c r="M8" i="38"/>
  <c r="N8" i="38"/>
  <c r="P8" i="38"/>
  <c r="S8" i="38" s="1"/>
  <c r="T8" i="38" s="1"/>
  <c r="R8" i="38"/>
  <c r="B9" i="38"/>
  <c r="E9" i="38"/>
  <c r="H9" i="38" s="1"/>
  <c r="I9" i="38" s="1"/>
  <c r="M9" i="38"/>
  <c r="N9" i="38"/>
  <c r="P9" i="38" s="1"/>
  <c r="S9" i="38" s="1"/>
  <c r="T9" i="38" s="1"/>
  <c r="R9" i="38"/>
  <c r="B10" i="38"/>
  <c r="E10" i="38"/>
  <c r="H10" i="38"/>
  <c r="I10" i="38" s="1"/>
  <c r="N10" i="38"/>
  <c r="P10" i="38"/>
  <c r="S10" i="38"/>
  <c r="T10" i="38" s="1"/>
  <c r="R10" i="38"/>
  <c r="B11" i="38"/>
  <c r="E11" i="38"/>
  <c r="H11" i="38" s="1"/>
  <c r="I11" i="38" s="1"/>
  <c r="G11" i="38"/>
  <c r="R16" i="38"/>
  <c r="N11" i="38"/>
  <c r="P11" i="38" s="1"/>
  <c r="R11" i="38"/>
  <c r="B12" i="38"/>
  <c r="E12" i="38"/>
  <c r="H12" i="38" s="1"/>
  <c r="I12" i="38" s="1"/>
  <c r="G12" i="38"/>
  <c r="R17" i="38" s="1"/>
  <c r="N12" i="38"/>
  <c r="P12" i="38"/>
  <c r="S12" i="38" s="1"/>
  <c r="T12" i="38" s="1"/>
  <c r="R12" i="38"/>
  <c r="B13" i="38"/>
  <c r="E13" i="38"/>
  <c r="H13" i="38" s="1"/>
  <c r="I13" i="38" s="1"/>
  <c r="N13" i="38"/>
  <c r="P13" i="38" s="1"/>
  <c r="S13" i="38" s="1"/>
  <c r="T13" i="38" s="1"/>
  <c r="R13" i="38"/>
  <c r="B14" i="38"/>
  <c r="E14" i="38"/>
  <c r="H14" i="38"/>
  <c r="I14" i="38"/>
  <c r="G14" i="38"/>
  <c r="R19" i="38" s="1"/>
  <c r="N14" i="38"/>
  <c r="P14" i="38" s="1"/>
  <c r="S14" i="38" s="1"/>
  <c r="T14" i="38" s="1"/>
  <c r="R14" i="38"/>
  <c r="B15" i="38"/>
  <c r="E15" i="38"/>
  <c r="H15" i="38"/>
  <c r="I15" i="38" s="1"/>
  <c r="N15" i="38"/>
  <c r="P15" i="38"/>
  <c r="S15" i="38" s="1"/>
  <c r="T15" i="38" s="1"/>
  <c r="R15" i="38"/>
  <c r="B16" i="38"/>
  <c r="E16" i="38"/>
  <c r="H16" i="38" s="1"/>
  <c r="I16" i="38" s="1"/>
  <c r="N16" i="38"/>
  <c r="P16" i="38"/>
  <c r="S16" i="38" s="1"/>
  <c r="T16" i="38" s="1"/>
  <c r="B17" i="38"/>
  <c r="E17" i="38"/>
  <c r="H17" i="38" s="1"/>
  <c r="I17" i="38" s="1"/>
  <c r="N17" i="38"/>
  <c r="P17" i="38"/>
  <c r="B18" i="38"/>
  <c r="E18" i="38"/>
  <c r="H18" i="38"/>
  <c r="I18" i="38" s="1"/>
  <c r="N18" i="38"/>
  <c r="P18" i="38"/>
  <c r="S18" i="38"/>
  <c r="T18" i="38" s="1"/>
  <c r="R18" i="38"/>
  <c r="B19" i="38"/>
  <c r="E19" i="38"/>
  <c r="H19" i="38" s="1"/>
  <c r="I19" i="38" s="1"/>
  <c r="N19" i="38"/>
  <c r="P19" i="38"/>
  <c r="S19" i="38" s="1"/>
  <c r="T19" i="38" s="1"/>
  <c r="B20" i="38"/>
  <c r="E20" i="38"/>
  <c r="H20" i="38"/>
  <c r="I20" i="38" s="1"/>
  <c r="G20" i="38"/>
  <c r="R25" i="38" s="1"/>
  <c r="S25" i="38" s="1"/>
  <c r="T25" i="38" s="1"/>
  <c r="N20" i="38"/>
  <c r="P20" i="38"/>
  <c r="S20" i="38" s="1"/>
  <c r="T20" i="38" s="1"/>
  <c r="R20" i="38"/>
  <c r="B21" i="38"/>
  <c r="E21" i="38"/>
  <c r="G21" i="38"/>
  <c r="R26" i="38"/>
  <c r="H21" i="38"/>
  <c r="I21" i="38" s="1"/>
  <c r="N21" i="38"/>
  <c r="P21" i="38"/>
  <c r="S21" i="38"/>
  <c r="T21" i="38" s="1"/>
  <c r="R21" i="38"/>
  <c r="B22" i="38"/>
  <c r="E22" i="38"/>
  <c r="H22" i="38" s="1"/>
  <c r="I22" i="38" s="1"/>
  <c r="G22" i="38"/>
  <c r="M22" i="38"/>
  <c r="N22" i="38"/>
  <c r="P22" i="38" s="1"/>
  <c r="S22" i="38" s="1"/>
  <c r="T22" i="38" s="1"/>
  <c r="R22" i="38"/>
  <c r="B23" i="38"/>
  <c r="E23" i="38"/>
  <c r="H23" i="38"/>
  <c r="I23" i="38" s="1"/>
  <c r="N23" i="38"/>
  <c r="P23" i="38"/>
  <c r="R23" i="38"/>
  <c r="B24" i="38"/>
  <c r="E24" i="38"/>
  <c r="H24" i="38" s="1"/>
  <c r="I24" i="38" s="1"/>
  <c r="M24" i="38"/>
  <c r="N24" i="38"/>
  <c r="P24" i="38" s="1"/>
  <c r="S24" i="38" s="1"/>
  <c r="T24" i="38" s="1"/>
  <c r="R24" i="38"/>
  <c r="B25" i="38"/>
  <c r="E25" i="38"/>
  <c r="H25" i="38"/>
  <c r="I25" i="38"/>
  <c r="M25" i="38"/>
  <c r="N25" i="38"/>
  <c r="P25" i="38"/>
  <c r="B26" i="38"/>
  <c r="E26" i="38"/>
  <c r="H26" i="38"/>
  <c r="I26" i="38" s="1"/>
  <c r="G26" i="38"/>
  <c r="R31" i="38"/>
  <c r="M26" i="38"/>
  <c r="N26" i="38"/>
  <c r="P26" i="38" s="1"/>
  <c r="S26" i="38" s="1"/>
  <c r="T26" i="38" s="1"/>
  <c r="B27" i="38"/>
  <c r="E27" i="38"/>
  <c r="H27" i="38"/>
  <c r="I27" i="38"/>
  <c r="M27" i="38"/>
  <c r="N27" i="38"/>
  <c r="P27" i="38"/>
  <c r="S27" i="38" s="1"/>
  <c r="T27" i="38" s="1"/>
  <c r="R27" i="38"/>
  <c r="B28" i="38"/>
  <c r="E28" i="38"/>
  <c r="H28" i="38" s="1"/>
  <c r="I28" i="38" s="1"/>
  <c r="G28" i="38"/>
  <c r="R33" i="38"/>
  <c r="M28" i="38"/>
  <c r="N28" i="38"/>
  <c r="P28" i="38"/>
  <c r="S28" i="38" s="1"/>
  <c r="T28" i="38" s="1"/>
  <c r="R28" i="38"/>
  <c r="B29" i="38"/>
  <c r="E29" i="38"/>
  <c r="H29" i="38" s="1"/>
  <c r="I29" i="38" s="1"/>
  <c r="G29" i="38"/>
  <c r="R34" i="38" s="1"/>
  <c r="M29" i="38"/>
  <c r="N29" i="38"/>
  <c r="P29" i="38"/>
  <c r="S29" i="38"/>
  <c r="T29" i="38" s="1"/>
  <c r="R29" i="38"/>
  <c r="F30" i="38"/>
  <c r="M30" i="38"/>
  <c r="N30" i="38"/>
  <c r="P30" i="38" s="1"/>
  <c r="S30" i="38" s="1"/>
  <c r="T30" i="38"/>
  <c r="R30" i="38"/>
  <c r="M31" i="38"/>
  <c r="N31" i="38"/>
  <c r="P31" i="38"/>
  <c r="S31" i="38" s="1"/>
  <c r="T31" i="38" s="1"/>
  <c r="M32" i="38"/>
  <c r="N32" i="38"/>
  <c r="P32" i="38" s="1"/>
  <c r="S32" i="38" s="1"/>
  <c r="R32" i="38"/>
  <c r="T32" i="38"/>
  <c r="M33" i="38"/>
  <c r="N33" i="38"/>
  <c r="P33" i="38"/>
  <c r="S33" i="38"/>
  <c r="T33" i="38" s="1"/>
  <c r="B34" i="38"/>
  <c r="E34" i="38"/>
  <c r="H34" i="38"/>
  <c r="M34" i="38"/>
  <c r="N34" i="38"/>
  <c r="P34" i="38"/>
  <c r="B35" i="38"/>
  <c r="E35" i="38"/>
  <c r="H35" i="38" s="1"/>
  <c r="I35" i="38" s="1"/>
  <c r="B36" i="38"/>
  <c r="E36" i="38"/>
  <c r="H36" i="38" s="1"/>
  <c r="I36" i="38" s="1"/>
  <c r="B37" i="38"/>
  <c r="E37" i="38"/>
  <c r="H37" i="38" s="1"/>
  <c r="I37" i="38" s="1"/>
  <c r="B38" i="38"/>
  <c r="E38" i="38"/>
  <c r="H38" i="38" s="1"/>
  <c r="I38" i="38" s="1"/>
  <c r="B39" i="38"/>
  <c r="E39" i="38"/>
  <c r="H39" i="38" s="1"/>
  <c r="I39" i="38" s="1"/>
  <c r="B40" i="38"/>
  <c r="E40" i="38"/>
  <c r="H40" i="38" s="1"/>
  <c r="I40" i="38" s="1"/>
  <c r="B41" i="38"/>
  <c r="E41" i="38"/>
  <c r="H41" i="38" s="1"/>
  <c r="I41" i="38" s="1"/>
  <c r="B42" i="38"/>
  <c r="E42" i="38"/>
  <c r="H42" i="38" s="1"/>
  <c r="I42" i="38" s="1"/>
  <c r="B43" i="38"/>
  <c r="E43" i="38"/>
  <c r="H43" i="38" s="1"/>
  <c r="I43" i="38" s="1"/>
  <c r="B44" i="38"/>
  <c r="E44" i="38"/>
  <c r="H44" i="38" s="1"/>
  <c r="I44" i="38" s="1"/>
  <c r="B45" i="38"/>
  <c r="E45" i="38"/>
  <c r="H45" i="38" s="1"/>
  <c r="I45" i="38" s="1"/>
  <c r="B46" i="38"/>
  <c r="E46" i="38"/>
  <c r="H46" i="38" s="1"/>
  <c r="I46" i="38" s="1"/>
  <c r="B47" i="38"/>
  <c r="E47" i="38"/>
  <c r="H47" i="38" s="1"/>
  <c r="I47" i="38" s="1"/>
  <c r="B48" i="38"/>
  <c r="E48" i="38"/>
  <c r="H48" i="38" s="1"/>
  <c r="I48" i="38" s="1"/>
  <c r="F49" i="38"/>
  <c r="G49" i="38"/>
  <c r="B53" i="38"/>
  <c r="E53" i="38"/>
  <c r="H53" i="38"/>
  <c r="I53" i="38" s="1"/>
  <c r="B54" i="38"/>
  <c r="E54" i="38"/>
  <c r="H54" i="38" s="1"/>
  <c r="I54" i="38" s="1"/>
  <c r="G54" i="38"/>
  <c r="B55" i="38"/>
  <c r="E55" i="38"/>
  <c r="H55" i="38" s="1"/>
  <c r="I55" i="38" s="1"/>
  <c r="G55" i="38"/>
  <c r="B56" i="38"/>
  <c r="E56" i="38"/>
  <c r="H56" i="38"/>
  <c r="I56" i="38"/>
  <c r="B57" i="38"/>
  <c r="E57" i="38"/>
  <c r="G57" i="38"/>
  <c r="H57" i="38"/>
  <c r="I57" i="38" s="1"/>
  <c r="B58" i="38"/>
  <c r="E58" i="38"/>
  <c r="H58" i="38" s="1"/>
  <c r="I58" i="38" s="1"/>
  <c r="G58" i="38"/>
  <c r="B59" i="38"/>
  <c r="E59" i="38"/>
  <c r="H59" i="38" s="1"/>
  <c r="I59" i="38" s="1"/>
  <c r="G59" i="38"/>
  <c r="G60" i="38"/>
  <c r="F60" i="38"/>
  <c r="B64" i="38"/>
  <c r="E64" i="38"/>
  <c r="H64" i="38"/>
  <c r="I64" i="38" s="1"/>
  <c r="G64" i="38"/>
  <c r="B65" i="38"/>
  <c r="E65" i="38"/>
  <c r="H65" i="38" s="1"/>
  <c r="I65" i="38" s="1"/>
  <c r="G65" i="38"/>
  <c r="B66" i="38"/>
  <c r="E66" i="38"/>
  <c r="H66" i="38" s="1"/>
  <c r="I66" i="38"/>
  <c r="B67" i="38"/>
  <c r="E67" i="38"/>
  <c r="G67" i="38"/>
  <c r="H67" i="38"/>
  <c r="I67" i="38" s="1"/>
  <c r="B68" i="38"/>
  <c r="E68" i="38"/>
  <c r="H68" i="38"/>
  <c r="I68" i="38" s="1"/>
  <c r="G68" i="38"/>
  <c r="B69" i="38"/>
  <c r="E69" i="38"/>
  <c r="H69" i="38" s="1"/>
  <c r="I69" i="38" s="1"/>
  <c r="G69" i="38"/>
  <c r="G70" i="38" s="1"/>
  <c r="F70" i="38"/>
  <c r="B2" i="42"/>
  <c r="E2" i="42"/>
  <c r="H2" i="42"/>
  <c r="I2" i="42" s="1"/>
  <c r="B3" i="42"/>
  <c r="E3" i="42"/>
  <c r="H3" i="42"/>
  <c r="I3" i="42" s="1"/>
  <c r="B4" i="42"/>
  <c r="E4" i="42"/>
  <c r="H4" i="42"/>
  <c r="I4" i="42" s="1"/>
  <c r="B5" i="42"/>
  <c r="E5" i="42"/>
  <c r="H5" i="42" s="1"/>
  <c r="I5" i="42" s="1"/>
  <c r="B6" i="42"/>
  <c r="E6" i="42"/>
  <c r="H6" i="42"/>
  <c r="I6" i="42" s="1"/>
  <c r="B7" i="42"/>
  <c r="E7" i="42"/>
  <c r="H7" i="42" s="1"/>
  <c r="I7" i="42" s="1"/>
  <c r="G7" i="42"/>
  <c r="M7" i="42"/>
  <c r="N7" i="42"/>
  <c r="P7" i="42" s="1"/>
  <c r="R7" i="42"/>
  <c r="B8" i="42"/>
  <c r="E8" i="42"/>
  <c r="H8" i="42" s="1"/>
  <c r="I8" i="42" s="1"/>
  <c r="M8" i="42"/>
  <c r="N8" i="42"/>
  <c r="P8" i="42" s="1"/>
  <c r="S8" i="42"/>
  <c r="T8" i="42" s="1"/>
  <c r="R8" i="42"/>
  <c r="B9" i="42"/>
  <c r="E9" i="42"/>
  <c r="H9" i="42" s="1"/>
  <c r="I9" i="42" s="1"/>
  <c r="I30" i="42" s="1"/>
  <c r="M9" i="42"/>
  <c r="N9" i="42"/>
  <c r="P9" i="42"/>
  <c r="S9" i="42" s="1"/>
  <c r="T9" i="42" s="1"/>
  <c r="R9" i="42"/>
  <c r="B10" i="42"/>
  <c r="E10" i="42"/>
  <c r="H10" i="42" s="1"/>
  <c r="I10" i="42" s="1"/>
  <c r="N10" i="42"/>
  <c r="P10" i="42" s="1"/>
  <c r="R10" i="42"/>
  <c r="B11" i="42"/>
  <c r="E11" i="42"/>
  <c r="G11" i="42"/>
  <c r="R16" i="42" s="1"/>
  <c r="R35" i="42" s="1"/>
  <c r="H11" i="42"/>
  <c r="I11" i="42" s="1"/>
  <c r="N11" i="42"/>
  <c r="P11" i="42"/>
  <c r="R11" i="42"/>
  <c r="B12" i="42"/>
  <c r="E12" i="42"/>
  <c r="H12" i="42"/>
  <c r="I12" i="42"/>
  <c r="G12" i="42"/>
  <c r="N12" i="42"/>
  <c r="P12" i="42"/>
  <c r="R12" i="42"/>
  <c r="B13" i="42"/>
  <c r="E13" i="42"/>
  <c r="H13" i="42" s="1"/>
  <c r="I13" i="42" s="1"/>
  <c r="N13" i="42"/>
  <c r="P13" i="42"/>
  <c r="S13" i="42" s="1"/>
  <c r="T13" i="42" s="1"/>
  <c r="R13" i="42"/>
  <c r="B14" i="42"/>
  <c r="E14" i="42"/>
  <c r="G14" i="42"/>
  <c r="R19" i="42"/>
  <c r="H14" i="42"/>
  <c r="I14" i="42" s="1"/>
  <c r="N14" i="42"/>
  <c r="P14" i="42"/>
  <c r="S14" i="42" s="1"/>
  <c r="T14" i="42" s="1"/>
  <c r="R14" i="42"/>
  <c r="B15" i="42"/>
  <c r="E15" i="42"/>
  <c r="H15" i="42" s="1"/>
  <c r="I15" i="42" s="1"/>
  <c r="N15" i="42"/>
  <c r="P15" i="42"/>
  <c r="S15" i="42" s="1"/>
  <c r="R15" i="42"/>
  <c r="T15" i="42"/>
  <c r="B16" i="42"/>
  <c r="E16" i="42"/>
  <c r="H16" i="42" s="1"/>
  <c r="I16" i="42"/>
  <c r="N16" i="42"/>
  <c r="P16" i="42" s="1"/>
  <c r="B17" i="42"/>
  <c r="E17" i="42"/>
  <c r="H17" i="42"/>
  <c r="I17" i="42"/>
  <c r="N17" i="42"/>
  <c r="P17" i="42" s="1"/>
  <c r="S17" i="42"/>
  <c r="T17" i="42" s="1"/>
  <c r="R17" i="42"/>
  <c r="B18" i="42"/>
  <c r="E18" i="42"/>
  <c r="H18" i="42" s="1"/>
  <c r="I18" i="42" s="1"/>
  <c r="N18" i="42"/>
  <c r="P18" i="42"/>
  <c r="R18" i="42"/>
  <c r="B19" i="42"/>
  <c r="E19" i="42"/>
  <c r="H19" i="42"/>
  <c r="I19" i="42"/>
  <c r="N19" i="42"/>
  <c r="P19" i="42" s="1"/>
  <c r="S19" i="42"/>
  <c r="T19" i="42"/>
  <c r="B20" i="42"/>
  <c r="E20" i="42"/>
  <c r="G20" i="42"/>
  <c r="R25" i="42" s="1"/>
  <c r="H20" i="42"/>
  <c r="I20" i="42" s="1"/>
  <c r="N20" i="42"/>
  <c r="P20" i="42"/>
  <c r="S20" i="42"/>
  <c r="T20" i="42" s="1"/>
  <c r="R20" i="42"/>
  <c r="B21" i="42"/>
  <c r="E21" i="42"/>
  <c r="H21" i="42" s="1"/>
  <c r="G21" i="42"/>
  <c r="N21" i="42"/>
  <c r="P21" i="42"/>
  <c r="S21" i="42" s="1"/>
  <c r="T21" i="42" s="1"/>
  <c r="R21" i="42"/>
  <c r="B22" i="42"/>
  <c r="E22" i="42"/>
  <c r="H22" i="42" s="1"/>
  <c r="I22" i="42" s="1"/>
  <c r="G22" i="42"/>
  <c r="R27" i="42"/>
  <c r="M22" i="42"/>
  <c r="N22" i="42"/>
  <c r="P22" i="42" s="1"/>
  <c r="R22" i="42"/>
  <c r="B23" i="42"/>
  <c r="E23" i="42"/>
  <c r="H23" i="42" s="1"/>
  <c r="I23" i="42" s="1"/>
  <c r="N23" i="42"/>
  <c r="P23" i="42"/>
  <c r="S23" i="42" s="1"/>
  <c r="T23" i="42" s="1"/>
  <c r="R23" i="42"/>
  <c r="B24" i="42"/>
  <c r="E24" i="42"/>
  <c r="H24" i="42"/>
  <c r="I24" i="42" s="1"/>
  <c r="M24" i="42"/>
  <c r="N24" i="42"/>
  <c r="P24" i="42" s="1"/>
  <c r="R24" i="42"/>
  <c r="B25" i="42"/>
  <c r="E25" i="42"/>
  <c r="H25" i="42" s="1"/>
  <c r="I25" i="42"/>
  <c r="M25" i="42"/>
  <c r="N25" i="42"/>
  <c r="P25" i="42" s="1"/>
  <c r="B26" i="42"/>
  <c r="E26" i="42"/>
  <c r="H26" i="42" s="1"/>
  <c r="I26" i="42" s="1"/>
  <c r="G26" i="42"/>
  <c r="M26" i="42"/>
  <c r="N26" i="42"/>
  <c r="P26" i="42"/>
  <c r="R26" i="42"/>
  <c r="S26" i="42"/>
  <c r="T26" i="42" s="1"/>
  <c r="B27" i="42"/>
  <c r="E27" i="42"/>
  <c r="H27" i="42"/>
  <c r="I27" i="42" s="1"/>
  <c r="M27" i="42"/>
  <c r="N27" i="42"/>
  <c r="P27" i="42" s="1"/>
  <c r="S27" i="42" s="1"/>
  <c r="T27" i="42" s="1"/>
  <c r="B28" i="42"/>
  <c r="E28" i="42"/>
  <c r="H28" i="42" s="1"/>
  <c r="I28" i="42" s="1"/>
  <c r="G28" i="42"/>
  <c r="M28" i="42"/>
  <c r="N28" i="42"/>
  <c r="P28" i="42"/>
  <c r="R28" i="42"/>
  <c r="B29" i="42"/>
  <c r="E29" i="42"/>
  <c r="G29" i="42"/>
  <c r="H29" i="42"/>
  <c r="I29" i="42"/>
  <c r="M29" i="42"/>
  <c r="N29" i="42"/>
  <c r="P29" i="42"/>
  <c r="S29" i="42"/>
  <c r="T29" i="42" s="1"/>
  <c r="R29" i="42"/>
  <c r="F30" i="42"/>
  <c r="M30" i="42"/>
  <c r="N30" i="42"/>
  <c r="P30" i="42"/>
  <c r="R30" i="42"/>
  <c r="S30" i="42"/>
  <c r="T30" i="42" s="1"/>
  <c r="M31" i="42"/>
  <c r="N31" i="42"/>
  <c r="P31" i="42"/>
  <c r="R31" i="42"/>
  <c r="M32" i="42"/>
  <c r="N32" i="42"/>
  <c r="P32" i="42"/>
  <c r="S32" i="42"/>
  <c r="T32" i="42" s="1"/>
  <c r="R32" i="42"/>
  <c r="M33" i="42"/>
  <c r="N33" i="42"/>
  <c r="P33" i="42" s="1"/>
  <c r="S33" i="42" s="1"/>
  <c r="R33" i="42"/>
  <c r="T33" i="42"/>
  <c r="B34" i="42"/>
  <c r="E34" i="42"/>
  <c r="H34" i="42"/>
  <c r="M34" i="42"/>
  <c r="N34" i="42"/>
  <c r="P34" i="42" s="1"/>
  <c r="R34" i="42"/>
  <c r="S34" i="42" s="1"/>
  <c r="T34" i="42" s="1"/>
  <c r="B35" i="42"/>
  <c r="E35" i="42"/>
  <c r="H35" i="42"/>
  <c r="I35" i="42"/>
  <c r="B36" i="42"/>
  <c r="E36" i="42"/>
  <c r="H36" i="42"/>
  <c r="I36" i="42"/>
  <c r="B37" i="42"/>
  <c r="E37" i="42"/>
  <c r="H37" i="42"/>
  <c r="I37" i="42"/>
  <c r="B38" i="42"/>
  <c r="E38" i="42"/>
  <c r="H38" i="42"/>
  <c r="I38" i="42"/>
  <c r="B39" i="42"/>
  <c r="E39" i="42"/>
  <c r="H39" i="42"/>
  <c r="I39" i="42"/>
  <c r="B40" i="42"/>
  <c r="E40" i="42"/>
  <c r="H40" i="42"/>
  <c r="I40" i="42"/>
  <c r="B41" i="42"/>
  <c r="E41" i="42"/>
  <c r="H41" i="42"/>
  <c r="I41" i="42"/>
  <c r="B42" i="42"/>
  <c r="E42" i="42"/>
  <c r="H42" i="42"/>
  <c r="I42" i="42"/>
  <c r="B43" i="42"/>
  <c r="E43" i="42"/>
  <c r="H43" i="42"/>
  <c r="I43" i="42"/>
  <c r="B44" i="42"/>
  <c r="E44" i="42"/>
  <c r="H44" i="42"/>
  <c r="I44" i="42"/>
  <c r="B45" i="42"/>
  <c r="E45" i="42"/>
  <c r="H45" i="42"/>
  <c r="I45" i="42"/>
  <c r="B46" i="42"/>
  <c r="E46" i="42"/>
  <c r="H46" i="42"/>
  <c r="I46" i="42"/>
  <c r="B47" i="42"/>
  <c r="E47" i="42"/>
  <c r="H47" i="42"/>
  <c r="I47" i="42"/>
  <c r="B48" i="42"/>
  <c r="E48" i="42"/>
  <c r="H48" i="42"/>
  <c r="I48" i="42"/>
  <c r="F49" i="42"/>
  <c r="G49" i="42"/>
  <c r="B53" i="42"/>
  <c r="E53" i="42"/>
  <c r="H53" i="42" s="1"/>
  <c r="I53" i="42" s="1"/>
  <c r="B54" i="42"/>
  <c r="E54" i="42"/>
  <c r="H54" i="42" s="1"/>
  <c r="I54" i="42" s="1"/>
  <c r="G54" i="42"/>
  <c r="B55" i="42"/>
  <c r="E55" i="42"/>
  <c r="G55" i="42"/>
  <c r="H55" i="42"/>
  <c r="I55" i="42" s="1"/>
  <c r="B56" i="42"/>
  <c r="E56" i="42"/>
  <c r="H56" i="42"/>
  <c r="I56" i="42" s="1"/>
  <c r="B57" i="42"/>
  <c r="E57" i="42"/>
  <c r="H57" i="42" s="1"/>
  <c r="I57" i="42" s="1"/>
  <c r="G57" i="42"/>
  <c r="B58" i="42"/>
  <c r="E58" i="42"/>
  <c r="H58" i="42"/>
  <c r="I58" i="42"/>
  <c r="G58" i="42"/>
  <c r="B59" i="42"/>
  <c r="E59" i="42"/>
  <c r="H59" i="42"/>
  <c r="I59" i="42"/>
  <c r="G59" i="42"/>
  <c r="F60" i="42"/>
  <c r="B64" i="42"/>
  <c r="E64" i="42"/>
  <c r="H64" i="42" s="1"/>
  <c r="I64" i="42" s="1"/>
  <c r="G64" i="42"/>
  <c r="B65" i="42"/>
  <c r="E65" i="42"/>
  <c r="G65" i="42"/>
  <c r="G70" i="42" s="1"/>
  <c r="H65" i="42"/>
  <c r="I65" i="42" s="1"/>
  <c r="B66" i="42"/>
  <c r="E66" i="42"/>
  <c r="H66" i="42"/>
  <c r="B67" i="42"/>
  <c r="E67" i="42"/>
  <c r="H67" i="42"/>
  <c r="I67" i="42"/>
  <c r="G67" i="42"/>
  <c r="B68" i="42"/>
  <c r="E68" i="42"/>
  <c r="H68" i="42"/>
  <c r="I68" i="42" s="1"/>
  <c r="G68" i="42"/>
  <c r="B69" i="42"/>
  <c r="E69" i="42"/>
  <c r="H69" i="42" s="1"/>
  <c r="I69" i="42" s="1"/>
  <c r="G69" i="42"/>
  <c r="F70" i="42"/>
  <c r="B3" i="48"/>
  <c r="H3" i="48"/>
  <c r="B4" i="48"/>
  <c r="H4" i="48"/>
  <c r="B5" i="48"/>
  <c r="H5" i="48"/>
  <c r="H16" i="48" s="1"/>
  <c r="B6" i="48"/>
  <c r="H6" i="48"/>
  <c r="B7" i="48"/>
  <c r="H7" i="48"/>
  <c r="B8" i="48"/>
  <c r="H8" i="48"/>
  <c r="B9" i="48"/>
  <c r="H9" i="48"/>
  <c r="B10" i="48"/>
  <c r="H10" i="48"/>
  <c r="B11" i="48"/>
  <c r="H11" i="48"/>
  <c r="B12" i="48"/>
  <c r="H12" i="48"/>
  <c r="B13" i="48"/>
  <c r="H13" i="48"/>
  <c r="B14" i="48"/>
  <c r="H14" i="48"/>
  <c r="B15" i="48"/>
  <c r="H15" i="48"/>
  <c r="B30" i="48"/>
  <c r="H30" i="48"/>
  <c r="B31" i="48"/>
  <c r="H31" i="48"/>
  <c r="B32" i="48"/>
  <c r="H32" i="48"/>
  <c r="B33" i="48"/>
  <c r="H33" i="48"/>
  <c r="B34" i="48"/>
  <c r="H34" i="48"/>
  <c r="B35" i="48"/>
  <c r="H35" i="48"/>
  <c r="B36" i="48"/>
  <c r="H36" i="48"/>
  <c r="B37" i="48"/>
  <c r="H37" i="48"/>
  <c r="B38" i="48"/>
  <c r="H38" i="48"/>
  <c r="B39" i="48"/>
  <c r="H39" i="48"/>
  <c r="H40" i="48"/>
  <c r="B55" i="48"/>
  <c r="H55" i="48"/>
  <c r="B56" i="48"/>
  <c r="H56" i="48"/>
  <c r="B57" i="48"/>
  <c r="H57" i="48"/>
  <c r="B58" i="48"/>
  <c r="H58" i="48"/>
  <c r="B59" i="48"/>
  <c r="H59" i="48"/>
  <c r="B60" i="48"/>
  <c r="H60" i="48"/>
  <c r="B61" i="48"/>
  <c r="H61" i="48"/>
  <c r="B62" i="48"/>
  <c r="H62" i="48"/>
  <c r="B63" i="48"/>
  <c r="H63" i="48"/>
  <c r="B64" i="48"/>
  <c r="H64" i="48"/>
  <c r="J3" i="5"/>
  <c r="K3" i="5"/>
  <c r="L3" i="5"/>
  <c r="M3" i="5"/>
  <c r="Q3" i="5"/>
  <c r="R3" i="5"/>
  <c r="S3" i="5"/>
  <c r="T3" i="5"/>
  <c r="M37" i="5" s="1"/>
  <c r="N78" i="85" s="1"/>
  <c r="X3" i="5"/>
  <c r="Y3" i="5"/>
  <c r="Z3" i="5"/>
  <c r="AA3" i="5"/>
  <c r="M48" i="5"/>
  <c r="J4" i="5"/>
  <c r="K4" i="5" s="1"/>
  <c r="L4" i="5"/>
  <c r="M4" i="5"/>
  <c r="M24" i="5" s="1"/>
  <c r="Q4" i="5"/>
  <c r="R4" i="5" s="1"/>
  <c r="S4" i="5"/>
  <c r="T4" i="5"/>
  <c r="X4" i="5"/>
  <c r="Y4" i="5" s="1"/>
  <c r="Z4" i="5"/>
  <c r="AA4" i="5"/>
  <c r="M49" i="5"/>
  <c r="J5" i="5"/>
  <c r="K5" i="5"/>
  <c r="L5" i="5"/>
  <c r="M5" i="5"/>
  <c r="M25" i="5" s="1"/>
  <c r="N78" i="74" s="1"/>
  <c r="Q5" i="5"/>
  <c r="R5" i="5"/>
  <c r="S5" i="5"/>
  <c r="T5" i="5"/>
  <c r="M39" i="5" s="1"/>
  <c r="X5" i="5"/>
  <c r="Y5" i="5"/>
  <c r="Z5" i="5"/>
  <c r="AA5" i="5"/>
  <c r="M50" i="5" s="1"/>
  <c r="J6" i="5"/>
  <c r="K6" i="5"/>
  <c r="L6" i="5"/>
  <c r="M6" i="5"/>
  <c r="M26" i="5" s="1"/>
  <c r="N78" i="75" s="1"/>
  <c r="Q6" i="5"/>
  <c r="R6" i="5"/>
  <c r="S6" i="5"/>
  <c r="T6" i="5" s="1"/>
  <c r="M40" i="5" s="1"/>
  <c r="X6" i="5"/>
  <c r="Y6" i="5" s="1"/>
  <c r="Z6" i="5"/>
  <c r="AA6" i="5"/>
  <c r="M51" i="5" s="1"/>
  <c r="N78" i="99" s="1"/>
  <c r="J7" i="5"/>
  <c r="K7" i="5" s="1"/>
  <c r="L7" i="5"/>
  <c r="M7" i="5"/>
  <c r="Q7" i="5"/>
  <c r="R7" i="5" s="1"/>
  <c r="S7" i="5"/>
  <c r="T7" i="5"/>
  <c r="M41" i="5"/>
  <c r="X7" i="5"/>
  <c r="Y7" i="5" s="1"/>
  <c r="Z7" i="5"/>
  <c r="AA7" i="5"/>
  <c r="M52" i="5" s="1"/>
  <c r="J8" i="5"/>
  <c r="K8" i="5"/>
  <c r="L8" i="5"/>
  <c r="M8" i="5" s="1"/>
  <c r="M28" i="5" s="1"/>
  <c r="Q8" i="5"/>
  <c r="R8" i="5"/>
  <c r="S8" i="5"/>
  <c r="T8" i="5" s="1"/>
  <c r="M42" i="5" s="1"/>
  <c r="N78" i="90" s="1"/>
  <c r="X8" i="5"/>
  <c r="Y8" i="5"/>
  <c r="Z8" i="5"/>
  <c r="AA8" i="5" s="1"/>
  <c r="M53" i="5" s="1"/>
  <c r="N78" i="101" s="1"/>
  <c r="J9" i="5"/>
  <c r="K9" i="5"/>
  <c r="L9" i="5"/>
  <c r="M9" i="5" s="1"/>
  <c r="M29" i="5" s="1"/>
  <c r="N78" i="78" s="1"/>
  <c r="Q9" i="5"/>
  <c r="R9" i="5" s="1"/>
  <c r="S9" i="5"/>
  <c r="T9" i="5"/>
  <c r="X9" i="5"/>
  <c r="Y9" i="5" s="1"/>
  <c r="Z9" i="5"/>
  <c r="AA9" i="5"/>
  <c r="M54" i="5" s="1"/>
  <c r="J10" i="5"/>
  <c r="K10" i="5" s="1"/>
  <c r="L10" i="5"/>
  <c r="M10" i="5"/>
  <c r="M30" i="5"/>
  <c r="N78" i="79" s="1"/>
  <c r="Q10" i="5"/>
  <c r="R10" i="5"/>
  <c r="S10" i="5"/>
  <c r="T10" i="5" s="1"/>
  <c r="M44" i="5" s="1"/>
  <c r="X10" i="5"/>
  <c r="Y10" i="5" s="1"/>
  <c r="Z10" i="5"/>
  <c r="AA10" i="5"/>
  <c r="J11" i="5"/>
  <c r="K11" i="5" s="1"/>
  <c r="L11" i="5"/>
  <c r="M11" i="5"/>
  <c r="Q11" i="5"/>
  <c r="R11" i="5" s="1"/>
  <c r="S11" i="5"/>
  <c r="T11" i="5"/>
  <c r="M45" i="5"/>
  <c r="N78" i="93" s="1"/>
  <c r="X11" i="5"/>
  <c r="Y11" i="5" s="1"/>
  <c r="Z11" i="5"/>
  <c r="AA11" i="5"/>
  <c r="M56" i="5"/>
  <c r="J12" i="5"/>
  <c r="K12" i="5"/>
  <c r="L12" i="5"/>
  <c r="M12" i="5"/>
  <c r="M32" i="5" s="1"/>
  <c r="N78" i="81" s="1"/>
  <c r="Q12" i="5"/>
  <c r="R12" i="5"/>
  <c r="S12" i="5"/>
  <c r="T12" i="5"/>
  <c r="M46" i="5" s="1"/>
  <c r="N78" i="94" s="1"/>
  <c r="X12" i="5"/>
  <c r="Y12" i="5"/>
  <c r="Z12" i="5"/>
  <c r="AA12" i="5"/>
  <c r="M57" i="5" s="1"/>
  <c r="J13" i="5"/>
  <c r="K13" i="5"/>
  <c r="L13" i="5"/>
  <c r="M13" i="5" s="1"/>
  <c r="M33" i="5" s="1"/>
  <c r="N78" i="82"/>
  <c r="J14" i="5"/>
  <c r="K14" i="5" s="1"/>
  <c r="L14" i="5"/>
  <c r="M14" i="5"/>
  <c r="M34" i="5" s="1"/>
  <c r="J15" i="5"/>
  <c r="K15" i="5" s="1"/>
  <c r="L15" i="5"/>
  <c r="M15" i="5"/>
  <c r="M35" i="5" s="1"/>
  <c r="H23" i="5"/>
  <c r="K23" i="5"/>
  <c r="N75" i="72" s="1"/>
  <c r="N82" i="72" s="1"/>
  <c r="N90" i="72" s="1"/>
  <c r="L23" i="5"/>
  <c r="N76" i="72" s="1"/>
  <c r="M23" i="5"/>
  <c r="N23" i="5"/>
  <c r="O23" i="5"/>
  <c r="N134" i="72" s="1"/>
  <c r="N137" i="72" s="1"/>
  <c r="N158" i="72" s="1"/>
  <c r="Q23" i="5"/>
  <c r="N79" i="72" s="1"/>
  <c r="R23" i="5"/>
  <c r="N81" i="72" s="1"/>
  <c r="S23" i="5"/>
  <c r="D24" i="5"/>
  <c r="K24" i="5"/>
  <c r="N75" i="73" s="1"/>
  <c r="L24" i="5"/>
  <c r="N76" i="73" s="1"/>
  <c r="N24" i="5"/>
  <c r="O24" i="5"/>
  <c r="N133" i="73" s="1"/>
  <c r="N136" i="73" s="1"/>
  <c r="N157" i="73" s="1"/>
  <c r="Q24" i="5"/>
  <c r="R24" i="5"/>
  <c r="S24" i="5"/>
  <c r="N80" i="73" s="1"/>
  <c r="D25" i="5"/>
  <c r="N13" i="74" s="1"/>
  <c r="H25" i="5"/>
  <c r="J25" i="5"/>
  <c r="K25" i="5"/>
  <c r="L25" i="5"/>
  <c r="N25" i="5"/>
  <c r="O25" i="5"/>
  <c r="Q25" i="5"/>
  <c r="N79" i="74" s="1"/>
  <c r="R25" i="5"/>
  <c r="N81" i="74" s="1"/>
  <c r="S25" i="5"/>
  <c r="D26" i="5"/>
  <c r="J26" i="5"/>
  <c r="N41" i="75" s="1"/>
  <c r="K26" i="5"/>
  <c r="N75" i="75" s="1"/>
  <c r="L26" i="5"/>
  <c r="N26" i="5"/>
  <c r="O26" i="5"/>
  <c r="Q26" i="5"/>
  <c r="N79" i="75" s="1"/>
  <c r="R26" i="5"/>
  <c r="S26" i="5"/>
  <c r="D27" i="5"/>
  <c r="J27" i="5"/>
  <c r="N41" i="76" s="1"/>
  <c r="K27" i="5"/>
  <c r="L27" i="5"/>
  <c r="M27" i="5"/>
  <c r="N27" i="5"/>
  <c r="O27" i="5"/>
  <c r="N133" i="76" s="1"/>
  <c r="N136" i="76" s="1"/>
  <c r="Q27" i="5"/>
  <c r="R27" i="5"/>
  <c r="S27" i="5"/>
  <c r="N80" i="76" s="1"/>
  <c r="D28" i="5"/>
  <c r="J28" i="5"/>
  <c r="K28" i="5"/>
  <c r="L28" i="5"/>
  <c r="N28" i="5"/>
  <c r="O28" i="5"/>
  <c r="N133" i="77" s="1"/>
  <c r="Q28" i="5"/>
  <c r="N79" i="77" s="1"/>
  <c r="R28" i="5"/>
  <c r="S28" i="5"/>
  <c r="D29" i="5"/>
  <c r="H29" i="5"/>
  <c r="K29" i="5"/>
  <c r="L29" i="5"/>
  <c r="M16" i="42"/>
  <c r="N29" i="5"/>
  <c r="N77" i="78" s="1"/>
  <c r="O29" i="5"/>
  <c r="Q29" i="5"/>
  <c r="R29" i="5"/>
  <c r="N81" i="78" s="1"/>
  <c r="S29" i="5"/>
  <c r="N80" i="78" s="1"/>
  <c r="D30" i="5"/>
  <c r="J30" i="5"/>
  <c r="K30" i="5"/>
  <c r="L30" i="5"/>
  <c r="N30" i="5"/>
  <c r="O30" i="5"/>
  <c r="Q30" i="5"/>
  <c r="R30" i="5"/>
  <c r="S30" i="5"/>
  <c r="D31" i="5"/>
  <c r="H31" i="5"/>
  <c r="J31" i="5"/>
  <c r="K31" i="5"/>
  <c r="L31" i="5"/>
  <c r="M31" i="5"/>
  <c r="N31" i="5"/>
  <c r="O31" i="5"/>
  <c r="Q31" i="5"/>
  <c r="R31" i="5"/>
  <c r="S31" i="5"/>
  <c r="D32" i="5"/>
  <c r="H32" i="5"/>
  <c r="K32" i="5"/>
  <c r="L32" i="5"/>
  <c r="M19" i="38"/>
  <c r="N32" i="5"/>
  <c r="O32" i="5"/>
  <c r="Q32" i="5"/>
  <c r="R32" i="5"/>
  <c r="S32" i="5"/>
  <c r="D33" i="5"/>
  <c r="I33" i="5"/>
  <c r="N40" i="82" s="1"/>
  <c r="K33" i="5"/>
  <c r="L33" i="5"/>
  <c r="M20" i="42"/>
  <c r="N33" i="5"/>
  <c r="N77" i="82" s="1"/>
  <c r="O33" i="5"/>
  <c r="Q33" i="5"/>
  <c r="R33" i="5"/>
  <c r="S33" i="5"/>
  <c r="N80" i="82" s="1"/>
  <c r="D34" i="5"/>
  <c r="I34" i="5"/>
  <c r="K34" i="5"/>
  <c r="N75" i="83" s="1"/>
  <c r="L34" i="5"/>
  <c r="N34" i="5"/>
  <c r="O34" i="5"/>
  <c r="Q34" i="5"/>
  <c r="R34" i="5"/>
  <c r="S34" i="5"/>
  <c r="D35" i="5"/>
  <c r="J35" i="5"/>
  <c r="K35" i="5"/>
  <c r="N75" i="84" s="1"/>
  <c r="N82" i="84" s="1"/>
  <c r="N90" i="84" s="1"/>
  <c r="L35" i="5"/>
  <c r="M23" i="42" s="1"/>
  <c r="N35" i="5"/>
  <c r="O35" i="5"/>
  <c r="N133" i="84" s="1"/>
  <c r="Q35" i="5"/>
  <c r="R35" i="5"/>
  <c r="S35" i="5"/>
  <c r="F36" i="5"/>
  <c r="J37" i="5"/>
  <c r="K37" i="5"/>
  <c r="L37" i="5"/>
  <c r="N37" i="5"/>
  <c r="N77" i="85" s="1"/>
  <c r="O37" i="5"/>
  <c r="Q37" i="5"/>
  <c r="R37" i="5"/>
  <c r="S37" i="5"/>
  <c r="N80" i="85" s="1"/>
  <c r="K38" i="5"/>
  <c r="L38" i="5"/>
  <c r="M38" i="5"/>
  <c r="N38" i="5"/>
  <c r="O38" i="5"/>
  <c r="Q38" i="5"/>
  <c r="R38" i="5"/>
  <c r="S38" i="5"/>
  <c r="J39" i="5"/>
  <c r="N41" i="87" s="1"/>
  <c r="K39" i="5"/>
  <c r="L39" i="5"/>
  <c r="N39" i="5"/>
  <c r="N77" i="87" s="1"/>
  <c r="O39" i="5"/>
  <c r="N133" i="87" s="1"/>
  <c r="Q39" i="5"/>
  <c r="R39" i="5"/>
  <c r="S39" i="5"/>
  <c r="H40" i="5"/>
  <c r="J40" i="5"/>
  <c r="K40" i="5"/>
  <c r="L40" i="5"/>
  <c r="N76" i="88" s="1"/>
  <c r="N40" i="5"/>
  <c r="N77" i="88" s="1"/>
  <c r="O40" i="5"/>
  <c r="Q40" i="5"/>
  <c r="R40" i="5"/>
  <c r="N81" i="88" s="1"/>
  <c r="S40" i="5"/>
  <c r="N80" i="88" s="1"/>
  <c r="J41" i="5"/>
  <c r="K41" i="5"/>
  <c r="L41" i="5"/>
  <c r="N76" i="89" s="1"/>
  <c r="N41" i="5"/>
  <c r="O41" i="5"/>
  <c r="Q41" i="5"/>
  <c r="R41" i="5"/>
  <c r="N81" i="89" s="1"/>
  <c r="S41" i="5"/>
  <c r="J42" i="5"/>
  <c r="K42" i="5"/>
  <c r="L42" i="5"/>
  <c r="N42" i="5"/>
  <c r="N77" i="90" s="1"/>
  <c r="O42" i="5"/>
  <c r="Q42" i="5"/>
  <c r="R42" i="5"/>
  <c r="S42" i="5"/>
  <c r="H43" i="5"/>
  <c r="K43" i="5"/>
  <c r="L43" i="5"/>
  <c r="M43" i="5"/>
  <c r="N78" i="91" s="1"/>
  <c r="N43" i="5"/>
  <c r="O43" i="5"/>
  <c r="Q43" i="5"/>
  <c r="R43" i="5"/>
  <c r="N81" i="91" s="1"/>
  <c r="S43" i="5"/>
  <c r="J44" i="5"/>
  <c r="K44" i="5"/>
  <c r="N75" i="92" s="1"/>
  <c r="L44" i="5"/>
  <c r="N76" i="92" s="1"/>
  <c r="N44" i="5"/>
  <c r="O44" i="5"/>
  <c r="Q44" i="5"/>
  <c r="R44" i="5"/>
  <c r="N81" i="92" s="1"/>
  <c r="S44" i="5"/>
  <c r="J45" i="5"/>
  <c r="K45" i="5"/>
  <c r="L45" i="5"/>
  <c r="N45" i="5"/>
  <c r="O45" i="5"/>
  <c r="Q45" i="5"/>
  <c r="N79" i="93" s="1"/>
  <c r="R45" i="5"/>
  <c r="S45" i="5"/>
  <c r="H46" i="5"/>
  <c r="I46" i="5"/>
  <c r="N40" i="94" s="1"/>
  <c r="K46" i="5"/>
  <c r="L46" i="5"/>
  <c r="N46" i="5"/>
  <c r="O46" i="5"/>
  <c r="Q46" i="5"/>
  <c r="R46" i="5"/>
  <c r="S46" i="5"/>
  <c r="F47" i="5"/>
  <c r="D48" i="5"/>
  <c r="J48" i="5"/>
  <c r="K48" i="5"/>
  <c r="L48" i="5"/>
  <c r="N48" i="5"/>
  <c r="O48" i="5"/>
  <c r="Q48" i="5"/>
  <c r="R48" i="5"/>
  <c r="S48" i="5"/>
  <c r="D49" i="5"/>
  <c r="N13" i="97" s="1"/>
  <c r="K49" i="5"/>
  <c r="L49" i="5"/>
  <c r="N49" i="5"/>
  <c r="O49" i="5"/>
  <c r="Q49" i="5"/>
  <c r="R49" i="5"/>
  <c r="S49" i="5"/>
  <c r="D50" i="5"/>
  <c r="J50" i="5"/>
  <c r="N41" i="98" s="1"/>
  <c r="K50" i="5"/>
  <c r="L50" i="5"/>
  <c r="N50" i="5"/>
  <c r="O50" i="5"/>
  <c r="N133" i="98" s="1"/>
  <c r="Q50" i="5"/>
  <c r="R50" i="5"/>
  <c r="S50" i="5"/>
  <c r="N80" i="98" s="1"/>
  <c r="D51" i="5"/>
  <c r="J51" i="5"/>
  <c r="K51" i="5"/>
  <c r="L51" i="5"/>
  <c r="N51" i="5"/>
  <c r="O51" i="5"/>
  <c r="Q51" i="5"/>
  <c r="R51" i="5"/>
  <c r="S51" i="5"/>
  <c r="D52" i="5"/>
  <c r="H52" i="5"/>
  <c r="J52" i="5"/>
  <c r="K52" i="5"/>
  <c r="L52" i="5"/>
  <c r="N52" i="5"/>
  <c r="O52" i="5"/>
  <c r="Q52" i="5"/>
  <c r="R52" i="5"/>
  <c r="S52" i="5"/>
  <c r="D53" i="5"/>
  <c r="H53" i="5"/>
  <c r="J53" i="5"/>
  <c r="K53" i="5"/>
  <c r="L53" i="5"/>
  <c r="N53" i="5"/>
  <c r="O53" i="5"/>
  <c r="Q53" i="5"/>
  <c r="R53" i="5"/>
  <c r="S53" i="5"/>
  <c r="D54" i="5"/>
  <c r="H54" i="5"/>
  <c r="K54" i="5"/>
  <c r="L54" i="5"/>
  <c r="N54" i="5"/>
  <c r="O54" i="5"/>
  <c r="Q54" i="5"/>
  <c r="R54" i="5"/>
  <c r="S54" i="5"/>
  <c r="D55" i="5"/>
  <c r="H55" i="5"/>
  <c r="J55" i="5"/>
  <c r="K55" i="5"/>
  <c r="L55" i="5"/>
  <c r="M55" i="5"/>
  <c r="N55" i="5"/>
  <c r="O55" i="5"/>
  <c r="Q55" i="5"/>
  <c r="R55" i="5"/>
  <c r="S55" i="5"/>
  <c r="D56" i="5"/>
  <c r="J56" i="5"/>
  <c r="K56" i="5"/>
  <c r="L56" i="5"/>
  <c r="N56" i="5"/>
  <c r="O56" i="5"/>
  <c r="N133" i="104" s="1"/>
  <c r="Q56" i="5"/>
  <c r="R56" i="5"/>
  <c r="S56" i="5"/>
  <c r="D57" i="5"/>
  <c r="H57" i="5"/>
  <c r="I57" i="5"/>
  <c r="K57" i="5"/>
  <c r="L57" i="5"/>
  <c r="N76" i="105" s="1"/>
  <c r="N57" i="5"/>
  <c r="O57" i="5"/>
  <c r="Q57" i="5"/>
  <c r="R57" i="5"/>
  <c r="N81" i="105" s="1"/>
  <c r="S57" i="5"/>
  <c r="F58" i="5"/>
  <c r="C84" i="5"/>
  <c r="C85" i="5"/>
  <c r="C86" i="5"/>
  <c r="C84" i="32"/>
  <c r="C88" i="5"/>
  <c r="C91" i="5"/>
  <c r="C92" i="5" s="1"/>
  <c r="C93" i="5"/>
  <c r="C102" i="32" s="1"/>
  <c r="C94" i="5"/>
  <c r="C107" i="32" s="1"/>
  <c r="C95" i="5"/>
  <c r="C108" i="32" s="1"/>
  <c r="C96" i="5"/>
  <c r="C109" i="32" s="1"/>
  <c r="C97" i="5"/>
  <c r="C98" i="5"/>
  <c r="C111" i="32" s="1"/>
  <c r="C99" i="5"/>
  <c r="N12" i="72"/>
  <c r="N13" i="72"/>
  <c r="A20" i="72"/>
  <c r="N30" i="72"/>
  <c r="N20" i="72"/>
  <c r="N32" i="72"/>
  <c r="N33" i="72"/>
  <c r="N34" i="72"/>
  <c r="N39" i="72"/>
  <c r="N40" i="72"/>
  <c r="N41" i="72"/>
  <c r="N42" i="72"/>
  <c r="N43" i="72"/>
  <c r="N44" i="72"/>
  <c r="N45" i="72"/>
  <c r="L60" i="72"/>
  <c r="L68" i="72" s="1"/>
  <c r="L61" i="72"/>
  <c r="L62" i="72"/>
  <c r="L63" i="72"/>
  <c r="L64" i="72"/>
  <c r="L65" i="72"/>
  <c r="L66" i="72"/>
  <c r="L67" i="72"/>
  <c r="N77" i="72"/>
  <c r="N78" i="72"/>
  <c r="N80" i="72"/>
  <c r="N122" i="72"/>
  <c r="N123" i="72"/>
  <c r="N135" i="72"/>
  <c r="N136" i="72"/>
  <c r="L142" i="72"/>
  <c r="L148" i="72"/>
  <c r="L143" i="72"/>
  <c r="L145" i="72"/>
  <c r="L146" i="72"/>
  <c r="L144" i="72" s="1"/>
  <c r="L147" i="72"/>
  <c r="N12" i="73"/>
  <c r="N13" i="73"/>
  <c r="A20" i="73"/>
  <c r="N30" i="73" s="1"/>
  <c r="N20" i="73"/>
  <c r="N32" i="73"/>
  <c r="N39" i="73"/>
  <c r="N33" i="73"/>
  <c r="N34" i="73"/>
  <c r="N40" i="73"/>
  <c r="N41" i="73"/>
  <c r="N46" i="73" s="1"/>
  <c r="N42" i="73"/>
  <c r="N43" i="73"/>
  <c r="N44" i="73"/>
  <c r="N45" i="73"/>
  <c r="L60" i="73"/>
  <c r="L61" i="73"/>
  <c r="L62" i="73"/>
  <c r="L63" i="73"/>
  <c r="L64" i="73"/>
  <c r="L65" i="73"/>
  <c r="L66" i="73"/>
  <c r="L67" i="73"/>
  <c r="N82" i="73"/>
  <c r="N90" i="73" s="1"/>
  <c r="N77" i="73"/>
  <c r="N78" i="73"/>
  <c r="N79" i="73"/>
  <c r="N81" i="73"/>
  <c r="N121" i="73"/>
  <c r="N122" i="73"/>
  <c r="N134" i="73"/>
  <c r="N135" i="73"/>
  <c r="L141" i="73"/>
  <c r="L147" i="73" s="1"/>
  <c r="L142" i="73"/>
  <c r="L144" i="73"/>
  <c r="L143" i="73"/>
  <c r="L145" i="73"/>
  <c r="L146" i="73"/>
  <c r="N12" i="74"/>
  <c r="A20" i="74"/>
  <c r="N30" i="74" s="1"/>
  <c r="N20" i="74"/>
  <c r="N32" i="74"/>
  <c r="N39" i="74" s="1"/>
  <c r="N33" i="74"/>
  <c r="N34" i="74"/>
  <c r="N40" i="74"/>
  <c r="N41" i="74"/>
  <c r="N42" i="74"/>
  <c r="N43" i="74"/>
  <c r="N44" i="74"/>
  <c r="N45" i="74"/>
  <c r="L60" i="74"/>
  <c r="L61" i="74"/>
  <c r="L62" i="74"/>
  <c r="L63" i="74"/>
  <c r="L64" i="74"/>
  <c r="L65" i="74"/>
  <c r="L66" i="74"/>
  <c r="L67" i="74"/>
  <c r="N75" i="74"/>
  <c r="N77" i="74"/>
  <c r="N80" i="74"/>
  <c r="N121" i="74"/>
  <c r="N122" i="74" s="1"/>
  <c r="N133" i="74"/>
  <c r="N136" i="74" s="1"/>
  <c r="N157" i="74" s="1"/>
  <c r="N134" i="74"/>
  <c r="N135" i="74"/>
  <c r="L141" i="74"/>
  <c r="L142" i="74"/>
  <c r="L144" i="74"/>
  <c r="L145" i="74"/>
  <c r="L146" i="74"/>
  <c r="N12" i="75"/>
  <c r="N13" i="75"/>
  <c r="A20" i="75"/>
  <c r="N20" i="75"/>
  <c r="N30" i="75"/>
  <c r="N32" i="75"/>
  <c r="N39" i="75" s="1"/>
  <c r="N33" i="75"/>
  <c r="N34" i="75"/>
  <c r="N40" i="75"/>
  <c r="N42" i="75"/>
  <c r="N43" i="75"/>
  <c r="N44" i="75"/>
  <c r="N45" i="75"/>
  <c r="L60" i="75"/>
  <c r="L61" i="75"/>
  <c r="L62" i="75"/>
  <c r="L63" i="75"/>
  <c r="L64" i="75"/>
  <c r="L65" i="75"/>
  <c r="L66" i="75"/>
  <c r="L67" i="75"/>
  <c r="N76" i="75"/>
  <c r="N77" i="75"/>
  <c r="N80" i="75"/>
  <c r="N81" i="75"/>
  <c r="N121" i="75"/>
  <c r="N122" i="75"/>
  <c r="N133" i="75"/>
  <c r="N136" i="75"/>
  <c r="N157" i="75" s="1"/>
  <c r="N134" i="75"/>
  <c r="N135" i="75"/>
  <c r="L141" i="75"/>
  <c r="L142" i="75"/>
  <c r="L144" i="75"/>
  <c r="L145" i="75"/>
  <c r="L146" i="75"/>
  <c r="N12" i="76"/>
  <c r="N13" i="76"/>
  <c r="A20" i="76"/>
  <c r="N30" i="76" s="1"/>
  <c r="N20" i="76"/>
  <c r="N32" i="76"/>
  <c r="N39" i="76" s="1"/>
  <c r="N33" i="76"/>
  <c r="N34" i="76"/>
  <c r="N40" i="76"/>
  <c r="N42" i="76"/>
  <c r="N43" i="76"/>
  <c r="N44" i="76"/>
  <c r="N45" i="76"/>
  <c r="L60" i="76"/>
  <c r="L61" i="76"/>
  <c r="L68" i="76" s="1"/>
  <c r="L62" i="76"/>
  <c r="L63" i="76"/>
  <c r="L64" i="76"/>
  <c r="L65" i="76"/>
  <c r="L66" i="76"/>
  <c r="L67" i="76"/>
  <c r="N75" i="76"/>
  <c r="N76" i="76"/>
  <c r="N77" i="76"/>
  <c r="N78" i="76"/>
  <c r="N79" i="76"/>
  <c r="N81" i="76"/>
  <c r="N121" i="76"/>
  <c r="N122" i="76" s="1"/>
  <c r="N134" i="76"/>
  <c r="N157" i="76"/>
  <c r="N135" i="76"/>
  <c r="L141" i="76"/>
  <c r="L142" i="76"/>
  <c r="L144" i="76"/>
  <c r="L143" i="76" s="1"/>
  <c r="L147" i="76"/>
  <c r="L145" i="76"/>
  <c r="L146" i="76"/>
  <c r="N12" i="77"/>
  <c r="N13" i="77"/>
  <c r="A20" i="77"/>
  <c r="N30" i="77" s="1"/>
  <c r="N20" i="77"/>
  <c r="N32" i="77"/>
  <c r="N39" i="77"/>
  <c r="N46" i="77" s="1"/>
  <c r="N33" i="77"/>
  <c r="N34" i="77"/>
  <c r="N40" i="77"/>
  <c r="N41" i="77"/>
  <c r="N42" i="77"/>
  <c r="N43" i="77"/>
  <c r="N44" i="77"/>
  <c r="N45" i="77"/>
  <c r="L60" i="77"/>
  <c r="L61" i="77"/>
  <c r="L62" i="77"/>
  <c r="L63" i="77"/>
  <c r="L64" i="77"/>
  <c r="L65" i="77"/>
  <c r="L66" i="77"/>
  <c r="L67" i="77"/>
  <c r="N75" i="77"/>
  <c r="N77" i="77"/>
  <c r="N78" i="77"/>
  <c r="N80" i="77"/>
  <c r="N81" i="77"/>
  <c r="N121" i="77"/>
  <c r="N122" i="77" s="1"/>
  <c r="N134" i="77"/>
  <c r="N136" i="77" s="1"/>
  <c r="N157" i="77" s="1"/>
  <c r="N135" i="77"/>
  <c r="L141" i="77"/>
  <c r="L142" i="77"/>
  <c r="L144" i="77"/>
  <c r="L143" i="77" s="1"/>
  <c r="L147" i="77"/>
  <c r="L145" i="77"/>
  <c r="L146" i="77"/>
  <c r="N12" i="78"/>
  <c r="N13" i="78"/>
  <c r="A20" i="78"/>
  <c r="N30" i="78" s="1"/>
  <c r="N20" i="78"/>
  <c r="N32" i="78"/>
  <c r="N39" i="78" s="1"/>
  <c r="N46" i="78" s="1"/>
  <c r="N33" i="78"/>
  <c r="N34" i="78"/>
  <c r="N40" i="78"/>
  <c r="N41" i="78"/>
  <c r="N42" i="78"/>
  <c r="N43" i="78"/>
  <c r="N44" i="78"/>
  <c r="N45" i="78"/>
  <c r="L60" i="78"/>
  <c r="L61" i="78"/>
  <c r="L62" i="78"/>
  <c r="L63" i="78"/>
  <c r="L64" i="78"/>
  <c r="N64" i="78" s="1"/>
  <c r="L65" i="78"/>
  <c r="L66" i="78"/>
  <c r="L67" i="78"/>
  <c r="N75" i="78"/>
  <c r="N82" i="78" s="1"/>
  <c r="N90" i="78" s="1"/>
  <c r="N76" i="78"/>
  <c r="N79" i="78"/>
  <c r="N121" i="78"/>
  <c r="N122" i="78" s="1"/>
  <c r="N133" i="78"/>
  <c r="N135" i="78"/>
  <c r="L141" i="78"/>
  <c r="L142" i="78"/>
  <c r="L144" i="78"/>
  <c r="L145" i="78"/>
  <c r="L146" i="78"/>
  <c r="N12" i="79"/>
  <c r="N13" i="79"/>
  <c r="A20" i="79"/>
  <c r="N30" i="79" s="1"/>
  <c r="N20" i="79"/>
  <c r="N32" i="79"/>
  <c r="N39" i="79" s="1"/>
  <c r="N33" i="79"/>
  <c r="N34" i="79"/>
  <c r="N40" i="79"/>
  <c r="N41" i="79"/>
  <c r="N42" i="79"/>
  <c r="N43" i="79"/>
  <c r="N44" i="79"/>
  <c r="N45" i="79"/>
  <c r="L60" i="79"/>
  <c r="L68" i="79" s="1"/>
  <c r="L61" i="79"/>
  <c r="L62" i="79"/>
  <c r="L63" i="79"/>
  <c r="L64" i="79"/>
  <c r="L65" i="79"/>
  <c r="L66" i="79"/>
  <c r="L67" i="79"/>
  <c r="N75" i="79"/>
  <c r="N82" i="79" s="1"/>
  <c r="N90" i="79" s="1"/>
  <c r="N76" i="79"/>
  <c r="N77" i="79"/>
  <c r="N79" i="79"/>
  <c r="N80" i="79"/>
  <c r="N81" i="79"/>
  <c r="N121" i="79"/>
  <c r="N122" i="79" s="1"/>
  <c r="N133" i="79"/>
  <c r="N135" i="79"/>
  <c r="L141" i="79"/>
  <c r="L142" i="79"/>
  <c r="L144" i="79"/>
  <c r="L143" i="79" s="1"/>
  <c r="L147" i="79" s="1"/>
  <c r="L145" i="79"/>
  <c r="L146" i="79"/>
  <c r="N12" i="80"/>
  <c r="N13" i="80"/>
  <c r="A20" i="80"/>
  <c r="N30" i="80"/>
  <c r="N20" i="80"/>
  <c r="N32" i="80"/>
  <c r="N39" i="80" s="1"/>
  <c r="N46" i="80" s="1"/>
  <c r="N33" i="80"/>
  <c r="N34" i="80"/>
  <c r="N40" i="80"/>
  <c r="N41" i="80"/>
  <c r="N42" i="80"/>
  <c r="N43" i="80"/>
  <c r="N44" i="80"/>
  <c r="N45" i="80"/>
  <c r="L60" i="80"/>
  <c r="L61" i="80"/>
  <c r="L62" i="80"/>
  <c r="L63" i="80"/>
  <c r="L64" i="80"/>
  <c r="L65" i="80"/>
  <c r="L66" i="80"/>
  <c r="L67" i="80"/>
  <c r="N75" i="80"/>
  <c r="N76" i="80"/>
  <c r="N77" i="80"/>
  <c r="N78" i="80"/>
  <c r="N79" i="80"/>
  <c r="N80" i="80"/>
  <c r="N81" i="80"/>
  <c r="N121" i="80"/>
  <c r="N122" i="80"/>
  <c r="N133" i="80"/>
  <c r="N136" i="80" s="1"/>
  <c r="N157" i="80" s="1"/>
  <c r="N134" i="80"/>
  <c r="N135" i="80"/>
  <c r="L141" i="80"/>
  <c r="L142" i="80"/>
  <c r="L144" i="80"/>
  <c r="L143" i="80"/>
  <c r="L147" i="80" s="1"/>
  <c r="L145" i="80"/>
  <c r="L146" i="80"/>
  <c r="N12" i="81"/>
  <c r="N13" i="81"/>
  <c r="A20" i="81"/>
  <c r="N20" i="81"/>
  <c r="N30" i="81"/>
  <c r="N32" i="81"/>
  <c r="N39" i="81" s="1"/>
  <c r="N33" i="81"/>
  <c r="N34" i="81"/>
  <c r="N40" i="81"/>
  <c r="N41" i="81"/>
  <c r="N46" i="81" s="1"/>
  <c r="N42" i="81"/>
  <c r="N43" i="81"/>
  <c r="N44" i="81"/>
  <c r="N45" i="81"/>
  <c r="L60" i="81"/>
  <c r="L61" i="81"/>
  <c r="L62" i="81"/>
  <c r="L63" i="81"/>
  <c r="L64" i="81"/>
  <c r="L65" i="81"/>
  <c r="L66" i="81"/>
  <c r="L67" i="81"/>
  <c r="N75" i="81"/>
  <c r="N76" i="81"/>
  <c r="N77" i="81"/>
  <c r="N79" i="81"/>
  <c r="N80" i="81"/>
  <c r="N81" i="81"/>
  <c r="N121" i="81"/>
  <c r="N122" i="81"/>
  <c r="N133" i="81"/>
  <c r="N134" i="81"/>
  <c r="N135" i="81"/>
  <c r="L141" i="81"/>
  <c r="L142" i="81"/>
  <c r="L144" i="81"/>
  <c r="L143" i="81" s="1"/>
  <c r="L147" i="81" s="1"/>
  <c r="L145" i="81"/>
  <c r="L146" i="81"/>
  <c r="N12" i="82"/>
  <c r="N13" i="82"/>
  <c r="A20" i="82"/>
  <c r="N20" i="82"/>
  <c r="N30" i="82"/>
  <c r="N32" i="82"/>
  <c r="N39" i="82" s="1"/>
  <c r="N33" i="82"/>
  <c r="N34" i="82"/>
  <c r="N41" i="82"/>
  <c r="N42" i="82"/>
  <c r="N43" i="82"/>
  <c r="N44" i="82"/>
  <c r="N45" i="82"/>
  <c r="L60" i="82"/>
  <c r="L61" i="82"/>
  <c r="L62" i="82"/>
  <c r="L63" i="82"/>
  <c r="L64" i="82"/>
  <c r="L65" i="82"/>
  <c r="L66" i="82"/>
  <c r="L67" i="82"/>
  <c r="N75" i="82"/>
  <c r="N76" i="82"/>
  <c r="N79" i="82"/>
  <c r="N81" i="82"/>
  <c r="N121" i="82"/>
  <c r="N122" i="82" s="1"/>
  <c r="N133" i="82"/>
  <c r="N135" i="82"/>
  <c r="L141" i="82"/>
  <c r="L142" i="82"/>
  <c r="L144" i="82"/>
  <c r="L145" i="82"/>
  <c r="L146" i="82"/>
  <c r="N12" i="83"/>
  <c r="N13" i="83"/>
  <c r="A20" i="83"/>
  <c r="N20" i="83"/>
  <c r="N30" i="83"/>
  <c r="N32" i="83"/>
  <c r="N39" i="83" s="1"/>
  <c r="N33" i="83"/>
  <c r="N34" i="83"/>
  <c r="N40" i="83"/>
  <c r="N41" i="83"/>
  <c r="N42" i="83"/>
  <c r="N43" i="83"/>
  <c r="N44" i="83"/>
  <c r="N45" i="83"/>
  <c r="L60" i="83"/>
  <c r="L68" i="83" s="1"/>
  <c r="L61" i="83"/>
  <c r="L62" i="83"/>
  <c r="L63" i="83"/>
  <c r="L64" i="83"/>
  <c r="L65" i="83"/>
  <c r="L66" i="83"/>
  <c r="L67" i="83"/>
  <c r="N77" i="83"/>
  <c r="N78" i="83"/>
  <c r="N79" i="83"/>
  <c r="N80" i="83"/>
  <c r="N81" i="83"/>
  <c r="N121" i="83"/>
  <c r="N122" i="83"/>
  <c r="N133" i="83"/>
  <c r="N135" i="83"/>
  <c r="L141" i="83"/>
  <c r="L142" i="83"/>
  <c r="L144" i="83"/>
  <c r="L145" i="83"/>
  <c r="L146" i="83"/>
  <c r="N12" i="84"/>
  <c r="N13" i="84"/>
  <c r="A20" i="84"/>
  <c r="N30" i="84"/>
  <c r="N20" i="84"/>
  <c r="N32" i="84"/>
  <c r="N39" i="84" s="1"/>
  <c r="N46" i="84" s="1"/>
  <c r="N33" i="84"/>
  <c r="N34" i="84"/>
  <c r="N40" i="84"/>
  <c r="N41" i="84"/>
  <c r="N42" i="84"/>
  <c r="N43" i="84"/>
  <c r="N44" i="84"/>
  <c r="N45" i="84"/>
  <c r="L60" i="84"/>
  <c r="L68" i="84" s="1"/>
  <c r="L61" i="84"/>
  <c r="L62" i="84"/>
  <c r="L63" i="84"/>
  <c r="L64" i="84"/>
  <c r="L65" i="84"/>
  <c r="L66" i="84"/>
  <c r="L67" i="84"/>
  <c r="N76" i="84"/>
  <c r="N77" i="84"/>
  <c r="N78" i="84"/>
  <c r="N79" i="84"/>
  <c r="N80" i="84"/>
  <c r="N81" i="84"/>
  <c r="N121" i="84"/>
  <c r="N122" i="84"/>
  <c r="N134" i="84"/>
  <c r="N135" i="84"/>
  <c r="L141" i="84"/>
  <c r="L142" i="84"/>
  <c r="L144" i="84"/>
  <c r="L145" i="84"/>
  <c r="L146" i="84"/>
  <c r="N12" i="85"/>
  <c r="N13" i="85"/>
  <c r="A20" i="85"/>
  <c r="N20" i="85"/>
  <c r="N30" i="85"/>
  <c r="N32" i="85"/>
  <c r="N39" i="85" s="1"/>
  <c r="N33" i="85"/>
  <c r="N34" i="85"/>
  <c r="N40" i="85"/>
  <c r="N41" i="85"/>
  <c r="N42" i="85"/>
  <c r="N43" i="85"/>
  <c r="N44" i="85"/>
  <c r="N45" i="85"/>
  <c r="L60" i="85"/>
  <c r="L61" i="85"/>
  <c r="L62" i="85"/>
  <c r="L63" i="85"/>
  <c r="L64" i="85"/>
  <c r="L65" i="85"/>
  <c r="L66" i="85"/>
  <c r="L67" i="85"/>
  <c r="N75" i="85"/>
  <c r="N76" i="85"/>
  <c r="N82" i="85" s="1"/>
  <c r="N90" i="85" s="1"/>
  <c r="N79" i="85"/>
  <c r="N81" i="85"/>
  <c r="N121" i="85"/>
  <c r="N122" i="85" s="1"/>
  <c r="N133" i="85"/>
  <c r="N135" i="85"/>
  <c r="L141" i="85"/>
  <c r="L142" i="85"/>
  <c r="L144" i="85"/>
  <c r="L145" i="85"/>
  <c r="L146" i="85"/>
  <c r="N12" i="86"/>
  <c r="N13" i="86"/>
  <c r="A20" i="86"/>
  <c r="N30" i="86"/>
  <c r="N20" i="86"/>
  <c r="N32" i="86"/>
  <c r="N39" i="86" s="1"/>
  <c r="N33" i="86"/>
  <c r="N34" i="86"/>
  <c r="N40" i="86"/>
  <c r="N41" i="86"/>
  <c r="N42" i="86"/>
  <c r="N43" i="86"/>
  <c r="N44" i="86"/>
  <c r="N45" i="86"/>
  <c r="L60" i="86"/>
  <c r="L61" i="86"/>
  <c r="L62" i="86"/>
  <c r="L63" i="86"/>
  <c r="L64" i="86"/>
  <c r="L65" i="86"/>
  <c r="L66" i="86"/>
  <c r="L67" i="86"/>
  <c r="N75" i="86"/>
  <c r="N76" i="86"/>
  <c r="N77" i="86"/>
  <c r="N82" i="86" s="1"/>
  <c r="N90" i="86" s="1"/>
  <c r="N78" i="86"/>
  <c r="N79" i="86"/>
  <c r="N80" i="86"/>
  <c r="N81" i="86"/>
  <c r="N121" i="86"/>
  <c r="N122" i="86"/>
  <c r="N133" i="86"/>
  <c r="N135" i="86"/>
  <c r="L141" i="86"/>
  <c r="L142" i="86"/>
  <c r="L144" i="86"/>
  <c r="L145" i="86"/>
  <c r="L146" i="86"/>
  <c r="L143" i="86"/>
  <c r="N12" i="87"/>
  <c r="N13" i="87"/>
  <c r="A20" i="87"/>
  <c r="N30" i="87"/>
  <c r="N20" i="87"/>
  <c r="N32" i="87"/>
  <c r="N39" i="87"/>
  <c r="N46" i="87"/>
  <c r="N33" i="87"/>
  <c r="N34" i="87"/>
  <c r="N40" i="87"/>
  <c r="N42" i="87"/>
  <c r="N43" i="87"/>
  <c r="N44" i="87"/>
  <c r="N45" i="87"/>
  <c r="L60" i="87"/>
  <c r="L61" i="87"/>
  <c r="L62" i="87"/>
  <c r="L63" i="87"/>
  <c r="L64" i="87"/>
  <c r="L65" i="87"/>
  <c r="L66" i="87"/>
  <c r="L67" i="87"/>
  <c r="N75" i="87"/>
  <c r="N76" i="87"/>
  <c r="N78" i="87"/>
  <c r="N79" i="87"/>
  <c r="N80" i="87"/>
  <c r="N81" i="87"/>
  <c r="N121" i="87"/>
  <c r="N122" i="87"/>
  <c r="N135" i="87"/>
  <c r="L141" i="87"/>
  <c r="L142" i="87"/>
  <c r="L144" i="87"/>
  <c r="L143" i="87" s="1"/>
  <c r="L147" i="87"/>
  <c r="L145" i="87"/>
  <c r="L146" i="87"/>
  <c r="N12" i="88"/>
  <c r="N13" i="88"/>
  <c r="A20" i="88"/>
  <c r="N30" i="88" s="1"/>
  <c r="N20" i="88"/>
  <c r="N32" i="88"/>
  <c r="N39" i="88"/>
  <c r="N33" i="88"/>
  <c r="N34" i="88"/>
  <c r="N40" i="88"/>
  <c r="N41" i="88"/>
  <c r="N42" i="88"/>
  <c r="N43" i="88"/>
  <c r="N44" i="88"/>
  <c r="N45" i="88"/>
  <c r="L60" i="88"/>
  <c r="L61" i="88"/>
  <c r="L62" i="88"/>
  <c r="L63" i="88"/>
  <c r="L64" i="88"/>
  <c r="L65" i="88"/>
  <c r="L66" i="88"/>
  <c r="L67" i="88"/>
  <c r="N75" i="88"/>
  <c r="N78" i="88"/>
  <c r="N79" i="88"/>
  <c r="N121" i="88"/>
  <c r="N122" i="88"/>
  <c r="N133" i="88"/>
  <c r="N135" i="88"/>
  <c r="L141" i="88"/>
  <c r="L142" i="88"/>
  <c r="L144" i="88"/>
  <c r="L145" i="88"/>
  <c r="L143" i="88" s="1"/>
  <c r="L147" i="88" s="1"/>
  <c r="L146" i="88"/>
  <c r="N12" i="89"/>
  <c r="N13" i="89"/>
  <c r="A20" i="89"/>
  <c r="N30" i="89" s="1"/>
  <c r="N20" i="89"/>
  <c r="N32" i="89"/>
  <c r="N39" i="89" s="1"/>
  <c r="N33" i="89"/>
  <c r="N34" i="89"/>
  <c r="N40" i="89"/>
  <c r="N41" i="89"/>
  <c r="N42" i="89"/>
  <c r="N43" i="89"/>
  <c r="N44" i="89"/>
  <c r="N45" i="89"/>
  <c r="L60" i="89"/>
  <c r="L61" i="89"/>
  <c r="L68" i="89" s="1"/>
  <c r="L62" i="89"/>
  <c r="L63" i="89"/>
  <c r="L64" i="89"/>
  <c r="L65" i="89"/>
  <c r="L66" i="89"/>
  <c r="L67" i="89"/>
  <c r="N75" i="89"/>
  <c r="N82" i="89" s="1"/>
  <c r="N90" i="89" s="1"/>
  <c r="N77" i="89"/>
  <c r="N78" i="89"/>
  <c r="N79" i="89"/>
  <c r="N80" i="89"/>
  <c r="N121" i="89"/>
  <c r="N122" i="89" s="1"/>
  <c r="N133" i="89"/>
  <c r="N135" i="89"/>
  <c r="L141" i="89"/>
  <c r="L142" i="89"/>
  <c r="L144" i="89"/>
  <c r="L143" i="89"/>
  <c r="L147" i="89" s="1"/>
  <c r="L145" i="89"/>
  <c r="L146" i="89"/>
  <c r="N12" i="90"/>
  <c r="N13" i="90"/>
  <c r="A20" i="90"/>
  <c r="N20" i="90"/>
  <c r="N30" i="90"/>
  <c r="N32" i="90"/>
  <c r="N39" i="90" s="1"/>
  <c r="N33" i="90"/>
  <c r="N34" i="90"/>
  <c r="N40" i="90"/>
  <c r="N41" i="90"/>
  <c r="N42" i="90"/>
  <c r="N43" i="90"/>
  <c r="N44" i="90"/>
  <c r="N45" i="90"/>
  <c r="L60" i="90"/>
  <c r="L61" i="90"/>
  <c r="L62" i="90"/>
  <c r="L63" i="90"/>
  <c r="L64" i="90"/>
  <c r="L68" i="90" s="1"/>
  <c r="L65" i="90"/>
  <c r="L66" i="90"/>
  <c r="L67" i="90"/>
  <c r="N75" i="90"/>
  <c r="N82" i="90" s="1"/>
  <c r="N90" i="90" s="1"/>
  <c r="N76" i="90"/>
  <c r="N79" i="90"/>
  <c r="N80" i="90"/>
  <c r="N81" i="90"/>
  <c r="N121" i="90"/>
  <c r="N122" i="90" s="1"/>
  <c r="N133" i="90"/>
  <c r="N135" i="90"/>
  <c r="L141" i="90"/>
  <c r="L142" i="90"/>
  <c r="L144" i="90"/>
  <c r="L143" i="90"/>
  <c r="L147" i="90" s="1"/>
  <c r="L145" i="90"/>
  <c r="L146" i="90"/>
  <c r="N12" i="91"/>
  <c r="N13" i="91"/>
  <c r="A20" i="91"/>
  <c r="N20" i="91"/>
  <c r="N30" i="91"/>
  <c r="N32" i="91"/>
  <c r="N39" i="91" s="1"/>
  <c r="N46" i="91" s="1"/>
  <c r="N33" i="91"/>
  <c r="N34" i="91"/>
  <c r="N40" i="91"/>
  <c r="N41" i="91"/>
  <c r="N42" i="91"/>
  <c r="N43" i="91"/>
  <c r="N44" i="91"/>
  <c r="N45" i="91"/>
  <c r="L60" i="91"/>
  <c r="L61" i="91"/>
  <c r="L62" i="91"/>
  <c r="L63" i="91"/>
  <c r="L64" i="91"/>
  <c r="L65" i="91"/>
  <c r="L66" i="91"/>
  <c r="L67" i="91"/>
  <c r="N75" i="91"/>
  <c r="N76" i="91"/>
  <c r="N77" i="91"/>
  <c r="N79" i="91"/>
  <c r="N80" i="91"/>
  <c r="N121" i="91"/>
  <c r="N122" i="91"/>
  <c r="N133" i="91"/>
  <c r="N135" i="91"/>
  <c r="L141" i="91"/>
  <c r="L142" i="91"/>
  <c r="L144" i="91"/>
  <c r="L145" i="91"/>
  <c r="L146" i="91"/>
  <c r="N12" i="92"/>
  <c r="N13" i="92"/>
  <c r="A20" i="92"/>
  <c r="N30" i="92" s="1"/>
  <c r="N20" i="92"/>
  <c r="N32" i="92"/>
  <c r="N39" i="92"/>
  <c r="N33" i="92"/>
  <c r="N34" i="92"/>
  <c r="N40" i="92"/>
  <c r="N41" i="92"/>
  <c r="N46" i="92" s="1"/>
  <c r="N42" i="92"/>
  <c r="N43" i="92"/>
  <c r="N44" i="92"/>
  <c r="N45" i="92"/>
  <c r="L60" i="92"/>
  <c r="L68" i="92" s="1"/>
  <c r="L61" i="92"/>
  <c r="L62" i="92"/>
  <c r="L63" i="92"/>
  <c r="L64" i="92"/>
  <c r="L65" i="92"/>
  <c r="L66" i="92"/>
  <c r="L67" i="92"/>
  <c r="N77" i="92"/>
  <c r="N78" i="92"/>
  <c r="N79" i="92"/>
  <c r="N80" i="92"/>
  <c r="N121" i="92"/>
  <c r="N122" i="92"/>
  <c r="N133" i="92"/>
  <c r="N135" i="92"/>
  <c r="L141" i="92"/>
  <c r="L142" i="92"/>
  <c r="L147" i="92" s="1"/>
  <c r="L144" i="92"/>
  <c r="L143" i="92" s="1"/>
  <c r="L145" i="92"/>
  <c r="L146" i="92"/>
  <c r="N12" i="93"/>
  <c r="N13" i="93"/>
  <c r="A20" i="93"/>
  <c r="N30" i="93" s="1"/>
  <c r="N20" i="93"/>
  <c r="N32" i="93"/>
  <c r="N39" i="93" s="1"/>
  <c r="N46" i="93" s="1"/>
  <c r="N33" i="93"/>
  <c r="N34" i="93"/>
  <c r="N40" i="93"/>
  <c r="N41" i="93"/>
  <c r="N42" i="93"/>
  <c r="N43" i="93"/>
  <c r="N44" i="93"/>
  <c r="N45" i="93"/>
  <c r="L60" i="93"/>
  <c r="L61" i="93"/>
  <c r="L62" i="93"/>
  <c r="L63" i="93"/>
  <c r="L64" i="93"/>
  <c r="L65" i="93"/>
  <c r="L68" i="93" s="1"/>
  <c r="L66" i="93"/>
  <c r="L67" i="93"/>
  <c r="N75" i="93"/>
  <c r="N82" i="93"/>
  <c r="N90" i="93" s="1"/>
  <c r="N76" i="93"/>
  <c r="N77" i="93"/>
  <c r="N80" i="93"/>
  <c r="N81" i="93"/>
  <c r="N121" i="93"/>
  <c r="N122" i="93" s="1"/>
  <c r="N133" i="93"/>
  <c r="N135" i="93"/>
  <c r="L141" i="93"/>
  <c r="L142" i="93"/>
  <c r="L144" i="93"/>
  <c r="L143" i="93"/>
  <c r="L147" i="93" s="1"/>
  <c r="L145" i="93"/>
  <c r="L146" i="93"/>
  <c r="N12" i="94"/>
  <c r="N13" i="94"/>
  <c r="A20" i="94"/>
  <c r="N20" i="94"/>
  <c r="N30" i="94"/>
  <c r="N32" i="94"/>
  <c r="N39" i="94" s="1"/>
  <c r="N33" i="94"/>
  <c r="N34" i="94"/>
  <c r="N41" i="94"/>
  <c r="N42" i="94"/>
  <c r="N43" i="94"/>
  <c r="N44" i="94"/>
  <c r="N45" i="94"/>
  <c r="L60" i="94"/>
  <c r="L68" i="94" s="1"/>
  <c r="L61" i="94"/>
  <c r="L62" i="94"/>
  <c r="L63" i="94"/>
  <c r="L64" i="94"/>
  <c r="L65" i="94"/>
  <c r="L66" i="94"/>
  <c r="L67" i="94"/>
  <c r="N75" i="94"/>
  <c r="N76" i="94"/>
  <c r="N77" i="94"/>
  <c r="N79" i="94"/>
  <c r="N80" i="94"/>
  <c r="N81" i="94"/>
  <c r="N121" i="94"/>
  <c r="N122" i="94"/>
  <c r="N133" i="94"/>
  <c r="N135" i="94"/>
  <c r="L141" i="94"/>
  <c r="L142" i="94"/>
  <c r="L144" i="94"/>
  <c r="L143" i="94"/>
  <c r="L145" i="94"/>
  <c r="L146" i="94"/>
  <c r="N12" i="96"/>
  <c r="N13" i="96"/>
  <c r="A20" i="96"/>
  <c r="N20" i="96"/>
  <c r="N30" i="96"/>
  <c r="N32" i="96"/>
  <c r="N39" i="96" s="1"/>
  <c r="N46" i="96" s="1"/>
  <c r="N33" i="96"/>
  <c r="N34" i="96"/>
  <c r="N40" i="96"/>
  <c r="N41" i="96"/>
  <c r="N42" i="96"/>
  <c r="N43" i="96"/>
  <c r="N44" i="96"/>
  <c r="N45" i="96"/>
  <c r="L60" i="96"/>
  <c r="L61" i="96"/>
  <c r="L62" i="96"/>
  <c r="L63" i="96"/>
  <c r="L64" i="96"/>
  <c r="L65" i="96"/>
  <c r="L66" i="96"/>
  <c r="L67" i="96"/>
  <c r="N75" i="96"/>
  <c r="N76" i="96"/>
  <c r="N77" i="96"/>
  <c r="N78" i="96"/>
  <c r="N79" i="96"/>
  <c r="N80" i="96"/>
  <c r="N81" i="96"/>
  <c r="N121" i="96"/>
  <c r="N122" i="96"/>
  <c r="N133" i="96"/>
  <c r="N135" i="96"/>
  <c r="L141" i="96"/>
  <c r="L142" i="96"/>
  <c r="L144" i="96"/>
  <c r="L143" i="96" s="1"/>
  <c r="L145" i="96"/>
  <c r="L146" i="96"/>
  <c r="N12" i="97"/>
  <c r="A20" i="97"/>
  <c r="N30" i="97" s="1"/>
  <c r="N20" i="97"/>
  <c r="N32" i="97"/>
  <c r="N39" i="97"/>
  <c r="N33" i="97"/>
  <c r="N34" i="97"/>
  <c r="N40" i="97"/>
  <c r="N41" i="97"/>
  <c r="N46" i="97" s="1"/>
  <c r="N42" i="97"/>
  <c r="N43" i="97"/>
  <c r="N44" i="97"/>
  <c r="N45" i="97"/>
  <c r="L60" i="97"/>
  <c r="L68" i="97" s="1"/>
  <c r="L61" i="97"/>
  <c r="L62" i="97"/>
  <c r="L63" i="97"/>
  <c r="L64" i="97"/>
  <c r="L65" i="97"/>
  <c r="L66" i="97"/>
  <c r="L67" i="97"/>
  <c r="N75" i="97"/>
  <c r="N76" i="97"/>
  <c r="N77" i="97"/>
  <c r="N78" i="97"/>
  <c r="N82" i="97" s="1"/>
  <c r="N90" i="97" s="1"/>
  <c r="N79" i="97"/>
  <c r="N80" i="97"/>
  <c r="N81" i="97"/>
  <c r="N121" i="97"/>
  <c r="N122" i="97" s="1"/>
  <c r="N133" i="97"/>
  <c r="N135" i="97"/>
  <c r="L141" i="97"/>
  <c r="L142" i="97"/>
  <c r="L144" i="97"/>
  <c r="L143" i="97" s="1"/>
  <c r="L147" i="97" s="1"/>
  <c r="L145" i="97"/>
  <c r="L146" i="97"/>
  <c r="N12" i="98"/>
  <c r="N13" i="98"/>
  <c r="A20" i="98"/>
  <c r="N30" i="98" s="1"/>
  <c r="N20" i="98"/>
  <c r="N32" i="98"/>
  <c r="N39" i="98" s="1"/>
  <c r="N46" i="98" s="1"/>
  <c r="N33" i="98"/>
  <c r="N34" i="98"/>
  <c r="N40" i="98"/>
  <c r="N42" i="98"/>
  <c r="N43" i="98"/>
  <c r="N44" i="98"/>
  <c r="N45" i="98"/>
  <c r="L60" i="98"/>
  <c r="L61" i="98"/>
  <c r="L68" i="98" s="1"/>
  <c r="L62" i="98"/>
  <c r="L63" i="98"/>
  <c r="L64" i="98"/>
  <c r="L65" i="98"/>
  <c r="L66" i="98"/>
  <c r="L67" i="98"/>
  <c r="N75" i="98"/>
  <c r="N76" i="98"/>
  <c r="N77" i="98"/>
  <c r="N78" i="98"/>
  <c r="N79" i="98"/>
  <c r="N81" i="98"/>
  <c r="N121" i="98"/>
  <c r="N122" i="98" s="1"/>
  <c r="N135" i="98"/>
  <c r="L141" i="98"/>
  <c r="L142" i="98"/>
  <c r="L144" i="98"/>
  <c r="L143" i="98"/>
  <c r="L147" i="98" s="1"/>
  <c r="L145" i="98"/>
  <c r="L146" i="98"/>
  <c r="N12" i="99"/>
  <c r="N13" i="99"/>
  <c r="A20" i="99"/>
  <c r="N20" i="99"/>
  <c r="N30" i="99"/>
  <c r="N32" i="99"/>
  <c r="N39" i="99" s="1"/>
  <c r="N33" i="99"/>
  <c r="N34" i="99"/>
  <c r="N40" i="99"/>
  <c r="N41" i="99"/>
  <c r="N42" i="99"/>
  <c r="N43" i="99"/>
  <c r="N44" i="99"/>
  <c r="N45" i="99"/>
  <c r="L60" i="99"/>
  <c r="L61" i="99"/>
  <c r="L62" i="99"/>
  <c r="L63" i="99"/>
  <c r="L64" i="99"/>
  <c r="L68" i="99" s="1"/>
  <c r="L65" i="99"/>
  <c r="L66" i="99"/>
  <c r="L67" i="99"/>
  <c r="N75" i="99"/>
  <c r="N76" i="99"/>
  <c r="N77" i="99"/>
  <c r="N79" i="99"/>
  <c r="N80" i="99"/>
  <c r="N81" i="99"/>
  <c r="N121" i="99"/>
  <c r="N122" i="99"/>
  <c r="N133" i="99"/>
  <c r="N135" i="99"/>
  <c r="L141" i="99"/>
  <c r="L142" i="99"/>
  <c r="L144" i="99"/>
  <c r="L143" i="99" s="1"/>
  <c r="L147" i="99" s="1"/>
  <c r="L145" i="99"/>
  <c r="L146" i="99"/>
  <c r="N12" i="100"/>
  <c r="N13" i="100"/>
  <c r="A20" i="100"/>
  <c r="N30" i="100" s="1"/>
  <c r="N20" i="100"/>
  <c r="N32" i="100"/>
  <c r="N39" i="100" s="1"/>
  <c r="N46" i="100" s="1"/>
  <c r="N33" i="100"/>
  <c r="N34" i="100"/>
  <c r="N40" i="100"/>
  <c r="N41" i="100"/>
  <c r="N42" i="100"/>
  <c r="N43" i="100"/>
  <c r="N44" i="100"/>
  <c r="N45" i="100"/>
  <c r="L60" i="100"/>
  <c r="L61" i="100"/>
  <c r="L62" i="100"/>
  <c r="L63" i="100"/>
  <c r="L64" i="100"/>
  <c r="L65" i="100"/>
  <c r="L68" i="100" s="1"/>
  <c r="L66" i="100"/>
  <c r="L67" i="100"/>
  <c r="N75" i="100"/>
  <c r="N82" i="100"/>
  <c r="N90" i="100" s="1"/>
  <c r="N76" i="100"/>
  <c r="N77" i="100"/>
  <c r="N78" i="100"/>
  <c r="N79" i="100"/>
  <c r="N80" i="100"/>
  <c r="N81" i="100"/>
  <c r="N121" i="100"/>
  <c r="N122" i="100" s="1"/>
  <c r="N133" i="100"/>
  <c r="N135" i="100"/>
  <c r="L141" i="100"/>
  <c r="L142" i="100"/>
  <c r="L144" i="100"/>
  <c r="L143" i="100"/>
  <c r="L147" i="100" s="1"/>
  <c r="L145" i="100"/>
  <c r="L146" i="100"/>
  <c r="N12" i="101"/>
  <c r="N13" i="101"/>
  <c r="A20" i="101"/>
  <c r="N30" i="101" s="1"/>
  <c r="N20" i="101"/>
  <c r="N32" i="101"/>
  <c r="N39" i="101" s="1"/>
  <c r="N46" i="101" s="1"/>
  <c r="N33" i="101"/>
  <c r="N34" i="101"/>
  <c r="N40" i="101"/>
  <c r="N41" i="101"/>
  <c r="N42" i="101"/>
  <c r="N43" i="101"/>
  <c r="N44" i="101"/>
  <c r="N45" i="101"/>
  <c r="L60" i="101"/>
  <c r="L61" i="101"/>
  <c r="L62" i="101"/>
  <c r="L63" i="101"/>
  <c r="L64" i="101"/>
  <c r="L65" i="101"/>
  <c r="L66" i="101"/>
  <c r="L67" i="101"/>
  <c r="N75" i="101"/>
  <c r="N76" i="101"/>
  <c r="N77" i="101"/>
  <c r="N79" i="101"/>
  <c r="N80" i="101"/>
  <c r="N81" i="101"/>
  <c r="N121" i="101"/>
  <c r="N122" i="101"/>
  <c r="N133" i="101"/>
  <c r="N135" i="101"/>
  <c r="L141" i="101"/>
  <c r="L142" i="101"/>
  <c r="L144" i="101"/>
  <c r="L145" i="101"/>
  <c r="L146" i="101"/>
  <c r="L143" i="101"/>
  <c r="N12" i="102"/>
  <c r="N13" i="102"/>
  <c r="A20" i="102"/>
  <c r="N20" i="102"/>
  <c r="N30" i="102"/>
  <c r="N32" i="102"/>
  <c r="N39" i="102" s="1"/>
  <c r="N33" i="102"/>
  <c r="N34" i="102"/>
  <c r="N40" i="102"/>
  <c r="N41" i="102"/>
  <c r="N46" i="102" s="1"/>
  <c r="N42" i="102"/>
  <c r="N43" i="102"/>
  <c r="N44" i="102"/>
  <c r="N45" i="102"/>
  <c r="L60" i="102"/>
  <c r="L61" i="102"/>
  <c r="L62" i="102"/>
  <c r="L63" i="102"/>
  <c r="L64" i="102"/>
  <c r="L65" i="102"/>
  <c r="L66" i="102"/>
  <c r="L67" i="102"/>
  <c r="L68" i="102"/>
  <c r="N75" i="102"/>
  <c r="N76" i="102"/>
  <c r="N77" i="102"/>
  <c r="N78" i="102"/>
  <c r="N82" i="102" s="1"/>
  <c r="N90" i="102" s="1"/>
  <c r="N79" i="102"/>
  <c r="N80" i="102"/>
  <c r="N81" i="102"/>
  <c r="N121" i="102"/>
  <c r="N122" i="102"/>
  <c r="N133" i="102"/>
  <c r="N135" i="102"/>
  <c r="L141" i="102"/>
  <c r="L142" i="102"/>
  <c r="L144" i="102"/>
  <c r="L145" i="102"/>
  <c r="L146" i="102"/>
  <c r="N12" i="103"/>
  <c r="N13" i="103"/>
  <c r="A20" i="103"/>
  <c r="N30" i="103"/>
  <c r="N20" i="103"/>
  <c r="N32" i="103"/>
  <c r="N39" i="103"/>
  <c r="N33" i="103"/>
  <c r="N34" i="103"/>
  <c r="N40" i="103"/>
  <c r="N41" i="103"/>
  <c r="N46" i="103" s="1"/>
  <c r="N42" i="103"/>
  <c r="N43" i="103"/>
  <c r="N44" i="103"/>
  <c r="N45" i="103"/>
  <c r="L60" i="103"/>
  <c r="L68" i="103" s="1"/>
  <c r="L61" i="103"/>
  <c r="L62" i="103"/>
  <c r="L63" i="103"/>
  <c r="L64" i="103"/>
  <c r="L65" i="103"/>
  <c r="L66" i="103"/>
  <c r="L67" i="103"/>
  <c r="N75" i="103"/>
  <c r="N76" i="103"/>
  <c r="N77" i="103"/>
  <c r="N78" i="103"/>
  <c r="N82" i="103" s="1"/>
  <c r="N90" i="103" s="1"/>
  <c r="N79" i="103"/>
  <c r="N80" i="103"/>
  <c r="N81" i="103"/>
  <c r="N121" i="103"/>
  <c r="N122" i="103"/>
  <c r="N133" i="103"/>
  <c r="N135" i="103"/>
  <c r="L141" i="103"/>
  <c r="L142" i="103"/>
  <c r="L144" i="103"/>
  <c r="L145" i="103"/>
  <c r="L146" i="103"/>
  <c r="N12" i="104"/>
  <c r="N13" i="104"/>
  <c r="A20" i="104"/>
  <c r="N30" i="104" s="1"/>
  <c r="N20" i="104"/>
  <c r="N32" i="104"/>
  <c r="N33" i="104"/>
  <c r="N34" i="104"/>
  <c r="N39" i="104"/>
  <c r="N40" i="104"/>
  <c r="N41" i="104"/>
  <c r="N42" i="104"/>
  <c r="N43" i="104"/>
  <c r="N44" i="104"/>
  <c r="N45" i="104"/>
  <c r="L60" i="104"/>
  <c r="L61" i="104"/>
  <c r="L62" i="104"/>
  <c r="L63" i="104"/>
  <c r="L64" i="104"/>
  <c r="L65" i="104"/>
  <c r="L68" i="104" s="1"/>
  <c r="L66" i="104"/>
  <c r="L67" i="104"/>
  <c r="N75" i="104"/>
  <c r="N76" i="104"/>
  <c r="N77" i="104"/>
  <c r="N78" i="104"/>
  <c r="N82" i="104" s="1"/>
  <c r="N90" i="104" s="1"/>
  <c r="N79" i="104"/>
  <c r="N80" i="104"/>
  <c r="N81" i="104"/>
  <c r="N121" i="104"/>
  <c r="N122" i="104" s="1"/>
  <c r="N135" i="104"/>
  <c r="L141" i="104"/>
  <c r="L142" i="104"/>
  <c r="L144" i="104"/>
  <c r="L145" i="104"/>
  <c r="L143" i="104" s="1"/>
  <c r="L147" i="104" s="1"/>
  <c r="L146" i="104"/>
  <c r="N12" i="105"/>
  <c r="N13" i="105"/>
  <c r="A20" i="105"/>
  <c r="N30" i="105" s="1"/>
  <c r="N20" i="105"/>
  <c r="N32" i="105"/>
  <c r="N39" i="105"/>
  <c r="N46" i="105" s="1"/>
  <c r="N33" i="105"/>
  <c r="N34" i="105"/>
  <c r="N40" i="105"/>
  <c r="N41" i="105"/>
  <c r="N42" i="105"/>
  <c r="N43" i="105"/>
  <c r="N44" i="105"/>
  <c r="N45" i="105"/>
  <c r="L60" i="105"/>
  <c r="L61" i="105"/>
  <c r="L62" i="105"/>
  <c r="L63" i="105"/>
  <c r="L64" i="105"/>
  <c r="L65" i="105"/>
  <c r="L68" i="105" s="1"/>
  <c r="L66" i="105"/>
  <c r="L67" i="105"/>
  <c r="N75" i="105"/>
  <c r="N77" i="105"/>
  <c r="N78" i="105"/>
  <c r="N82" i="105" s="1"/>
  <c r="N90" i="105" s="1"/>
  <c r="N79" i="105"/>
  <c r="N80" i="105"/>
  <c r="N121" i="105"/>
  <c r="N122" i="105"/>
  <c r="N133" i="105"/>
  <c r="N135" i="105"/>
  <c r="L141" i="105"/>
  <c r="L142" i="105"/>
  <c r="L144" i="105"/>
  <c r="L145" i="105"/>
  <c r="L146" i="105"/>
  <c r="L143" i="105"/>
  <c r="F2" i="107"/>
  <c r="F3" i="107"/>
  <c r="F5" i="107"/>
  <c r="F7" i="107"/>
  <c r="F4" i="107"/>
  <c r="F11" i="107"/>
  <c r="F12" i="107"/>
  <c r="F13" i="107"/>
  <c r="F14" i="107"/>
  <c r="F15" i="107"/>
  <c r="F16" i="107"/>
  <c r="F17" i="107"/>
  <c r="F18" i="107"/>
  <c r="F2" i="111"/>
  <c r="F6" i="111" s="1"/>
  <c r="F8" i="111" s="1"/>
  <c r="F3" i="111"/>
  <c r="F4" i="111"/>
  <c r="F5" i="111"/>
  <c r="F12" i="111"/>
  <c r="F13" i="111"/>
  <c r="F14" i="111"/>
  <c r="F15" i="111"/>
  <c r="F16" i="111"/>
  <c r="F17" i="111"/>
  <c r="F18" i="111"/>
  <c r="F19" i="111"/>
  <c r="F2" i="112"/>
  <c r="F6" i="112" s="1"/>
  <c r="F8" i="112" s="1"/>
  <c r="F3" i="112"/>
  <c r="F4" i="112"/>
  <c r="F5" i="112"/>
  <c r="F12" i="112"/>
  <c r="F14" i="112"/>
  <c r="F16" i="112"/>
  <c r="F13" i="112"/>
  <c r="F20" i="112"/>
  <c r="F21" i="112"/>
  <c r="F22" i="112"/>
  <c r="F23" i="112"/>
  <c r="F27" i="112" s="1"/>
  <c r="F29" i="112" s="1"/>
  <c r="F24" i="112"/>
  <c r="F25" i="112"/>
  <c r="F26" i="112"/>
  <c r="E3" i="115"/>
  <c r="F3" i="115" s="1"/>
  <c r="E4" i="115"/>
  <c r="F4" i="115"/>
  <c r="E5" i="115"/>
  <c r="F5" i="115" s="1"/>
  <c r="E6" i="115"/>
  <c r="F6" i="115"/>
  <c r="E7" i="115"/>
  <c r="F7" i="115" s="1"/>
  <c r="E8" i="115"/>
  <c r="F8" i="115"/>
  <c r="E9" i="115"/>
  <c r="F9" i="115" s="1"/>
  <c r="E10" i="115"/>
  <c r="F10" i="115"/>
  <c r="E11" i="115"/>
  <c r="F11" i="115" s="1"/>
  <c r="E12" i="115"/>
  <c r="F12" i="115"/>
  <c r="E13" i="115"/>
  <c r="F13" i="115" s="1"/>
  <c r="E18" i="115"/>
  <c r="F18" i="115"/>
  <c r="E19" i="115"/>
  <c r="F19" i="115" s="1"/>
  <c r="E20" i="115"/>
  <c r="F20" i="115"/>
  <c r="E21" i="115"/>
  <c r="F21" i="115"/>
  <c r="E22" i="115"/>
  <c r="F22" i="115" s="1"/>
  <c r="E23" i="115"/>
  <c r="F23" i="115"/>
  <c r="E24" i="115"/>
  <c r="F24" i="115" s="1"/>
  <c r="E29" i="115"/>
  <c r="F29" i="115"/>
  <c r="E30" i="115"/>
  <c r="F30" i="115" s="1"/>
  <c r="E31" i="115"/>
  <c r="F31" i="115"/>
  <c r="E32" i="115"/>
  <c r="F32" i="115" s="1"/>
  <c r="E33" i="115"/>
  <c r="F33" i="115"/>
  <c r="E34" i="115"/>
  <c r="F34" i="115" s="1"/>
  <c r="E35" i="115"/>
  <c r="F35" i="115"/>
  <c r="E36" i="115"/>
  <c r="F36" i="115" s="1"/>
  <c r="E37" i="115"/>
  <c r="F37" i="115"/>
  <c r="E38" i="115"/>
  <c r="F38" i="115" s="1"/>
  <c r="E39" i="115"/>
  <c r="F39" i="115"/>
  <c r="E40" i="115"/>
  <c r="F40" i="115" s="1"/>
  <c r="E41" i="115"/>
  <c r="F41" i="115"/>
  <c r="E42" i="115"/>
  <c r="F42" i="115" s="1"/>
  <c r="E43" i="115"/>
  <c r="F43" i="115"/>
  <c r="E44" i="115"/>
  <c r="F44" i="115" s="1"/>
  <c r="E45" i="115"/>
  <c r="F45" i="115"/>
  <c r="E3" i="113"/>
  <c r="F3" i="113" s="1"/>
  <c r="F8" i="113" s="1"/>
  <c r="B52" i="113" s="1"/>
  <c r="C52" i="113" s="1"/>
  <c r="E4" i="113"/>
  <c r="F4" i="113"/>
  <c r="E5" i="113"/>
  <c r="F5" i="113"/>
  <c r="E6" i="113"/>
  <c r="F6" i="113"/>
  <c r="E7" i="113"/>
  <c r="F7" i="113"/>
  <c r="E12" i="113"/>
  <c r="F12" i="113"/>
  <c r="E13" i="113"/>
  <c r="F13" i="113"/>
  <c r="E14" i="113"/>
  <c r="F14" i="113"/>
  <c r="E15" i="113"/>
  <c r="F15" i="113"/>
  <c r="E16" i="113"/>
  <c r="F16" i="113"/>
  <c r="E17" i="113"/>
  <c r="F17" i="113"/>
  <c r="E18" i="113"/>
  <c r="F18" i="113"/>
  <c r="E19" i="113"/>
  <c r="F19" i="113"/>
  <c r="E20" i="113"/>
  <c r="F20" i="113"/>
  <c r="E21" i="113"/>
  <c r="F21" i="113"/>
  <c r="E22" i="113"/>
  <c r="F22" i="113"/>
  <c r="E23" i="113"/>
  <c r="F23" i="113"/>
  <c r="E24" i="113"/>
  <c r="F24" i="113"/>
  <c r="E25" i="113"/>
  <c r="F25" i="113"/>
  <c r="E26" i="113"/>
  <c r="F26" i="113"/>
  <c r="E27" i="113"/>
  <c r="F27" i="113"/>
  <c r="E28" i="113"/>
  <c r="F28" i="113"/>
  <c r="E29" i="113"/>
  <c r="F29" i="113"/>
  <c r="E30" i="113"/>
  <c r="F30" i="113"/>
  <c r="E31" i="113"/>
  <c r="F31" i="113"/>
  <c r="E32" i="113"/>
  <c r="F32" i="113"/>
  <c r="E33" i="113"/>
  <c r="F33" i="113"/>
  <c r="E34" i="113"/>
  <c r="F34" i="113"/>
  <c r="E35" i="113"/>
  <c r="F35" i="113"/>
  <c r="E36" i="113"/>
  <c r="F36" i="113"/>
  <c r="E37" i="113"/>
  <c r="F37" i="113"/>
  <c r="E38" i="113"/>
  <c r="F38" i="113"/>
  <c r="E39" i="113"/>
  <c r="F39" i="113"/>
  <c r="E40" i="113"/>
  <c r="F40" i="113"/>
  <c r="E3" i="114"/>
  <c r="F3" i="114"/>
  <c r="E4" i="114"/>
  <c r="F4" i="114"/>
  <c r="E5" i="114"/>
  <c r="F5" i="114"/>
  <c r="E6" i="114"/>
  <c r="F6" i="114" s="1"/>
  <c r="E7" i="114"/>
  <c r="F7" i="114" s="1"/>
  <c r="E8" i="114"/>
  <c r="F8" i="114"/>
  <c r="E9" i="114"/>
  <c r="F9" i="114" s="1"/>
  <c r="E10" i="114"/>
  <c r="F10" i="114"/>
  <c r="E11" i="114"/>
  <c r="F11" i="114" s="1"/>
  <c r="E16" i="114"/>
  <c r="F16" i="114"/>
  <c r="E17" i="114"/>
  <c r="F17" i="114" s="1"/>
  <c r="E18" i="114"/>
  <c r="F18" i="114" s="1"/>
  <c r="E19" i="114"/>
  <c r="F19" i="114" s="1"/>
  <c r="E20" i="114"/>
  <c r="F20" i="114"/>
  <c r="E25" i="114"/>
  <c r="F25" i="114" s="1"/>
  <c r="E26" i="114"/>
  <c r="F26" i="114"/>
  <c r="E27" i="114"/>
  <c r="F27" i="114" s="1"/>
  <c r="E28" i="114"/>
  <c r="F28" i="114"/>
  <c r="E29" i="114"/>
  <c r="F29" i="114"/>
  <c r="E30" i="114"/>
  <c r="F30" i="114"/>
  <c r="E31" i="114"/>
  <c r="F31" i="114"/>
  <c r="E32" i="114"/>
  <c r="F32" i="114"/>
  <c r="E33" i="114"/>
  <c r="F33" i="114"/>
  <c r="E34" i="114"/>
  <c r="F34" i="114"/>
  <c r="E35" i="114"/>
  <c r="F35" i="114"/>
  <c r="E36" i="114"/>
  <c r="F36" i="114"/>
  <c r="E37" i="114"/>
  <c r="F37" i="114"/>
  <c r="E38" i="114"/>
  <c r="F38" i="114"/>
  <c r="E39" i="114"/>
  <c r="F39" i="114"/>
  <c r="E40" i="114"/>
  <c r="F40" i="114"/>
  <c r="E41" i="114"/>
  <c r="F41" i="114"/>
  <c r="E42" i="114"/>
  <c r="F42" i="114"/>
  <c r="E43" i="114"/>
  <c r="F43" i="114"/>
  <c r="E44" i="114"/>
  <c r="F44" i="114"/>
  <c r="E45" i="114"/>
  <c r="F45" i="114"/>
  <c r="E46" i="114"/>
  <c r="F46" i="114"/>
  <c r="E47" i="114"/>
  <c r="F47" i="114"/>
  <c r="E48" i="114"/>
  <c r="F48" i="114"/>
  <c r="E49" i="114"/>
  <c r="F49" i="114"/>
  <c r="E50" i="114"/>
  <c r="F50" i="114"/>
  <c r="E51" i="114"/>
  <c r="F51" i="114"/>
  <c r="E52" i="114"/>
  <c r="F52" i="114"/>
  <c r="E53" i="114"/>
  <c r="F53" i="114"/>
  <c r="B3" i="106"/>
  <c r="H3" i="106"/>
  <c r="B4" i="106"/>
  <c r="H4" i="106"/>
  <c r="B5" i="106"/>
  <c r="H5" i="106"/>
  <c r="H16" i="106" s="1"/>
  <c r="B6" i="106"/>
  <c r="H6" i="106"/>
  <c r="B7" i="106"/>
  <c r="H7" i="106"/>
  <c r="B8" i="106"/>
  <c r="H8" i="106"/>
  <c r="B9" i="106"/>
  <c r="H9" i="106"/>
  <c r="B10" i="106"/>
  <c r="H10" i="106"/>
  <c r="B11" i="106"/>
  <c r="H11" i="106"/>
  <c r="B12" i="106"/>
  <c r="H12" i="106"/>
  <c r="B13" i="106"/>
  <c r="H13" i="106"/>
  <c r="B14" i="106"/>
  <c r="H14" i="106"/>
  <c r="B15" i="106"/>
  <c r="H15" i="106"/>
  <c r="B30" i="106"/>
  <c r="H30" i="106"/>
  <c r="B31" i="106"/>
  <c r="H31" i="106"/>
  <c r="B32" i="106"/>
  <c r="H32" i="106"/>
  <c r="B33" i="106"/>
  <c r="H33" i="106"/>
  <c r="B34" i="106"/>
  <c r="H34" i="106"/>
  <c r="B35" i="106"/>
  <c r="H35" i="106"/>
  <c r="B36" i="106"/>
  <c r="H36" i="106"/>
  <c r="B37" i="106"/>
  <c r="H37" i="106"/>
  <c r="B38" i="106"/>
  <c r="H38" i="106"/>
  <c r="B39" i="106"/>
  <c r="H39" i="106"/>
  <c r="H40" i="106"/>
  <c r="B55" i="106"/>
  <c r="H55" i="106"/>
  <c r="B56" i="106"/>
  <c r="H56" i="106"/>
  <c r="B57" i="106"/>
  <c r="H57" i="106"/>
  <c r="H65" i="106" s="1"/>
  <c r="B58" i="106"/>
  <c r="H58" i="106"/>
  <c r="B59" i="106"/>
  <c r="H59" i="106"/>
  <c r="B60" i="106"/>
  <c r="H60" i="106"/>
  <c r="B61" i="106"/>
  <c r="H61" i="106"/>
  <c r="B62" i="106"/>
  <c r="H62" i="106"/>
  <c r="B63" i="106"/>
  <c r="H63" i="106"/>
  <c r="B64" i="106"/>
  <c r="H64" i="106"/>
  <c r="L63" i="44"/>
  <c r="L64" i="44"/>
  <c r="L66" i="44"/>
  <c r="L67" i="44"/>
  <c r="L68" i="44"/>
  <c r="L69" i="44"/>
  <c r="L71" i="44"/>
  <c r="L70" i="44"/>
  <c r="N65" i="105"/>
  <c r="N52" i="105"/>
  <c r="N112" i="105"/>
  <c r="N63" i="92"/>
  <c r="N100" i="92"/>
  <c r="N111" i="92"/>
  <c r="N95" i="92"/>
  <c r="N52" i="92"/>
  <c r="N62" i="92"/>
  <c r="N109" i="92"/>
  <c r="N113" i="92"/>
  <c r="N61" i="84"/>
  <c r="N100" i="84"/>
  <c r="N95" i="84"/>
  <c r="N52" i="84"/>
  <c r="N64" i="84"/>
  <c r="N66" i="84"/>
  <c r="N112" i="84"/>
  <c r="N109" i="98"/>
  <c r="N113" i="98"/>
  <c r="N115" i="98"/>
  <c r="N53" i="98"/>
  <c r="N52" i="96"/>
  <c r="N66" i="96"/>
  <c r="N109" i="96"/>
  <c r="N61" i="96"/>
  <c r="N63" i="96"/>
  <c r="N100" i="96"/>
  <c r="N111" i="96"/>
  <c r="N99" i="96"/>
  <c r="N153" i="96"/>
  <c r="N64" i="93"/>
  <c r="N66" i="93"/>
  <c r="N112" i="93"/>
  <c r="N67" i="93"/>
  <c r="N100" i="93"/>
  <c r="N95" i="93"/>
  <c r="N99" i="93"/>
  <c r="N64" i="91"/>
  <c r="N66" i="91"/>
  <c r="N112" i="91"/>
  <c r="N67" i="91"/>
  <c r="N100" i="91"/>
  <c r="N95" i="91"/>
  <c r="N99" i="91"/>
  <c r="N62" i="81"/>
  <c r="N64" i="81"/>
  <c r="N109" i="81"/>
  <c r="N113" i="81"/>
  <c r="N61" i="81"/>
  <c r="N63" i="81"/>
  <c r="N100" i="81"/>
  <c r="N53" i="81"/>
  <c r="N95" i="81"/>
  <c r="N153" i="81"/>
  <c r="N61" i="78"/>
  <c r="N63" i="78"/>
  <c r="N65" i="78"/>
  <c r="N67" i="78"/>
  <c r="N100" i="78"/>
  <c r="N111" i="78"/>
  <c r="N115" i="78"/>
  <c r="N53" i="78"/>
  <c r="N95" i="78"/>
  <c r="N99" i="78"/>
  <c r="N110" i="78"/>
  <c r="N153" i="78"/>
  <c r="N60" i="78"/>
  <c r="N62" i="78"/>
  <c r="N66" i="78"/>
  <c r="N98" i="78"/>
  <c r="N109" i="78"/>
  <c r="N113" i="78"/>
  <c r="N112" i="78"/>
  <c r="N52" i="73"/>
  <c r="N60" i="73"/>
  <c r="N66" i="73"/>
  <c r="N98" i="73"/>
  <c r="N112" i="73"/>
  <c r="N65" i="73"/>
  <c r="N67" i="73"/>
  <c r="N111" i="73"/>
  <c r="N115" i="73"/>
  <c r="N99" i="73"/>
  <c r="N110" i="73"/>
  <c r="N110" i="87"/>
  <c r="N99" i="87"/>
  <c r="L143" i="85"/>
  <c r="L147" i="85"/>
  <c r="N67" i="87"/>
  <c r="N65" i="87"/>
  <c r="L68" i="85"/>
  <c r="N52" i="77"/>
  <c r="N60" i="77"/>
  <c r="N62" i="77"/>
  <c r="N64" i="77"/>
  <c r="N66" i="77"/>
  <c r="N98" i="77"/>
  <c r="N109" i="77"/>
  <c r="N113" i="77"/>
  <c r="N112" i="77"/>
  <c r="N63" i="77"/>
  <c r="N65" i="77"/>
  <c r="N67" i="77"/>
  <c r="N100" i="77"/>
  <c r="N111" i="77"/>
  <c r="N115" i="77"/>
  <c r="N53" i="77"/>
  <c r="N95" i="77"/>
  <c r="N99" i="77"/>
  <c r="N153" i="77"/>
  <c r="N46" i="85"/>
  <c r="N63" i="80"/>
  <c r="N65" i="80"/>
  <c r="N100" i="80"/>
  <c r="N111" i="80"/>
  <c r="N95" i="80"/>
  <c r="N110" i="80"/>
  <c r="N153" i="80"/>
  <c r="N60" i="80"/>
  <c r="N62" i="80"/>
  <c r="N64" i="80"/>
  <c r="N109" i="80"/>
  <c r="N113" i="80"/>
  <c r="N109" i="87"/>
  <c r="N98" i="87"/>
  <c r="L143" i="83"/>
  <c r="L147" i="83" s="1"/>
  <c r="N113" i="85"/>
  <c r="N110" i="85"/>
  <c r="N54" i="77"/>
  <c r="N88" i="77" s="1"/>
  <c r="N99" i="101"/>
  <c r="N110" i="101"/>
  <c r="N68" i="78"/>
  <c r="N89" i="78" s="1"/>
  <c r="N100" i="85"/>
  <c r="N63" i="85"/>
  <c r="P29" i="5"/>
  <c r="N134" i="78" s="1"/>
  <c r="N136" i="78" s="1"/>
  <c r="N157" i="78" s="1"/>
  <c r="P30" i="5"/>
  <c r="N134" i="79"/>
  <c r="N52" i="102"/>
  <c r="N109" i="102"/>
  <c r="N112" i="85"/>
  <c r="N53" i="85"/>
  <c r="N61" i="85"/>
  <c r="F21" i="114"/>
  <c r="B65" i="114" s="1"/>
  <c r="P55" i="5"/>
  <c r="N134" i="103" s="1"/>
  <c r="N136" i="103" s="1"/>
  <c r="N157" i="103" s="1"/>
  <c r="P50" i="5"/>
  <c r="N134" i="98" s="1"/>
  <c r="N136" i="98" s="1"/>
  <c r="N157" i="98" s="1"/>
  <c r="P48" i="5"/>
  <c r="N134" i="96" s="1"/>
  <c r="L147" i="101"/>
  <c r="I66" i="42"/>
  <c r="I70" i="42"/>
  <c r="H70" i="42"/>
  <c r="I21" i="42"/>
  <c r="H30" i="42"/>
  <c r="N46" i="88"/>
  <c r="N52" i="87"/>
  <c r="N115" i="87"/>
  <c r="I60" i="42"/>
  <c r="H28" i="5"/>
  <c r="M14" i="42"/>
  <c r="M14" i="38"/>
  <c r="H60" i="42"/>
  <c r="M16" i="38"/>
  <c r="M11" i="42"/>
  <c r="M11" i="38"/>
  <c r="H65" i="48"/>
  <c r="M21" i="42"/>
  <c r="M19" i="42"/>
  <c r="M23" i="38"/>
  <c r="R35" i="38"/>
  <c r="I30" i="38"/>
  <c r="H26" i="5"/>
  <c r="M12" i="38"/>
  <c r="F74" i="42"/>
  <c r="I34" i="42"/>
  <c r="I49" i="42"/>
  <c r="I74" i="42" s="1"/>
  <c r="H49" i="42"/>
  <c r="S28" i="42"/>
  <c r="T28" i="42" s="1"/>
  <c r="S24" i="42"/>
  <c r="T24" i="42" s="1"/>
  <c r="S18" i="42"/>
  <c r="T18" i="42" s="1"/>
  <c r="H49" i="38"/>
  <c r="I34" i="38"/>
  <c r="I49" i="38" s="1"/>
  <c r="M20" i="38"/>
  <c r="S7" i="38"/>
  <c r="S35" i="38" s="1"/>
  <c r="C87" i="5"/>
  <c r="M18" i="42"/>
  <c r="M18" i="38"/>
  <c r="M17" i="38"/>
  <c r="M17" i="42"/>
  <c r="H27" i="5"/>
  <c r="H37" i="5" s="1"/>
  <c r="M13" i="42"/>
  <c r="M13" i="38"/>
  <c r="M10" i="42"/>
  <c r="M10" i="38"/>
  <c r="S25" i="42"/>
  <c r="T25" i="42"/>
  <c r="S22" i="42"/>
  <c r="T22" i="42" s="1"/>
  <c r="G30" i="42"/>
  <c r="S11" i="42"/>
  <c r="T11" i="42"/>
  <c r="I70" i="38"/>
  <c r="H60" i="38"/>
  <c r="G74" i="38"/>
  <c r="S34" i="38"/>
  <c r="T34" i="38" s="1"/>
  <c r="H30" i="38"/>
  <c r="S17" i="38"/>
  <c r="T17" i="38"/>
  <c r="M15" i="38"/>
  <c r="D149" i="32"/>
  <c r="H70" i="38"/>
  <c r="G30" i="38"/>
  <c r="D115" i="32"/>
  <c r="G39" i="4"/>
  <c r="B80" i="4" s="1"/>
  <c r="D80" i="4" s="1"/>
  <c r="D84" i="4" s="1"/>
  <c r="C91" i="32"/>
  <c r="N114" i="85"/>
  <c r="N114" i="91"/>
  <c r="N114" i="78"/>
  <c r="N116" i="78" s="1"/>
  <c r="N127" i="78" s="1"/>
  <c r="N129" i="78" s="1"/>
  <c r="N156" i="78"/>
  <c r="N114" i="87"/>
  <c r="N114" i="77"/>
  <c r="N114" i="101"/>
  <c r="N114" i="105"/>
  <c r="N114" i="102"/>
  <c r="N114" i="84"/>
  <c r="N114" i="100"/>
  <c r="N114" i="98"/>
  <c r="N114" i="96"/>
  <c r="N114" i="93"/>
  <c r="N114" i="80"/>
  <c r="N67" i="88"/>
  <c r="N115" i="88"/>
  <c r="N153" i="88"/>
  <c r="N60" i="88"/>
  <c r="N98" i="88"/>
  <c r="N112" i="88"/>
  <c r="N61" i="88"/>
  <c r="N68" i="88" s="1"/>
  <c r="N89" i="88" s="1"/>
  <c r="N53" i="88"/>
  <c r="N99" i="88"/>
  <c r="N52" i="88"/>
  <c r="N54" i="88" s="1"/>
  <c r="N88" i="88" s="1"/>
  <c r="N62" i="88"/>
  <c r="N109" i="88"/>
  <c r="N63" i="88"/>
  <c r="N100" i="88"/>
  <c r="N95" i="88"/>
  <c r="N110" i="88"/>
  <c r="N64" i="88"/>
  <c r="N113" i="88"/>
  <c r="N65" i="88"/>
  <c r="N111" i="88"/>
  <c r="N114" i="88"/>
  <c r="N66" i="88"/>
  <c r="C65" i="114"/>
  <c r="H74" i="38"/>
  <c r="N61" i="97" l="1"/>
  <c r="N53" i="97"/>
  <c r="N153" i="97"/>
  <c r="N64" i="97"/>
  <c r="N113" i="97"/>
  <c r="N65" i="97"/>
  <c r="N115" i="97"/>
  <c r="N52" i="97"/>
  <c r="N54" i="97" s="1"/>
  <c r="N88" i="97" s="1"/>
  <c r="N98" i="97"/>
  <c r="N67" i="97"/>
  <c r="N95" i="97"/>
  <c r="N60" i="97"/>
  <c r="N109" i="97"/>
  <c r="N100" i="97"/>
  <c r="N62" i="97"/>
  <c r="N111" i="97"/>
  <c r="N66" i="97"/>
  <c r="N99" i="97"/>
  <c r="N63" i="97"/>
  <c r="N110" i="97"/>
  <c r="N112" i="97"/>
  <c r="N114" i="97"/>
  <c r="N116" i="88"/>
  <c r="N127" i="88" s="1"/>
  <c r="N129" i="88" s="1"/>
  <c r="N156" i="88" s="1"/>
  <c r="T7" i="38"/>
  <c r="T35" i="38" s="1"/>
  <c r="N114" i="92"/>
  <c r="N114" i="81"/>
  <c r="N114" i="73"/>
  <c r="H74" i="42"/>
  <c r="F25" i="115"/>
  <c r="B57" i="115" s="1"/>
  <c r="N65" i="103"/>
  <c r="N111" i="103"/>
  <c r="N99" i="103"/>
  <c r="N60" i="103"/>
  <c r="N113" i="103"/>
  <c r="N63" i="103"/>
  <c r="N115" i="103"/>
  <c r="N153" i="103"/>
  <c r="N66" i="103"/>
  <c r="N67" i="103"/>
  <c r="N53" i="103"/>
  <c r="N52" i="103"/>
  <c r="N54" i="103" s="1"/>
  <c r="N88" i="103" s="1"/>
  <c r="N112" i="103"/>
  <c r="N62" i="103"/>
  <c r="N114" i="103"/>
  <c r="N100" i="103"/>
  <c r="N64" i="103"/>
  <c r="N95" i="103"/>
  <c r="N98" i="103"/>
  <c r="N61" i="103"/>
  <c r="N110" i="103"/>
  <c r="N109" i="103"/>
  <c r="N153" i="102"/>
  <c r="N53" i="102"/>
  <c r="N54" i="102" s="1"/>
  <c r="N88" i="102" s="1"/>
  <c r="N91" i="102" s="1"/>
  <c r="N154" i="102" s="1"/>
  <c r="N61" i="102"/>
  <c r="N99" i="102"/>
  <c r="N112" i="102"/>
  <c r="N66" i="102"/>
  <c r="N95" i="102"/>
  <c r="N67" i="102"/>
  <c r="N64" i="102"/>
  <c r="N98" i="102"/>
  <c r="N115" i="102"/>
  <c r="N100" i="102"/>
  <c r="N111" i="102"/>
  <c r="N65" i="102"/>
  <c r="N62" i="102"/>
  <c r="N113" i="102"/>
  <c r="N110" i="102"/>
  <c r="N63" i="102"/>
  <c r="N60" i="102"/>
  <c r="N68" i="102" s="1"/>
  <c r="N89" i="102" s="1"/>
  <c r="N64" i="100"/>
  <c r="N113" i="100"/>
  <c r="N63" i="100"/>
  <c r="N100" i="100"/>
  <c r="N95" i="100"/>
  <c r="N52" i="100"/>
  <c r="N98" i="100"/>
  <c r="N61" i="100"/>
  <c r="N111" i="100"/>
  <c r="N110" i="100"/>
  <c r="N60" i="100"/>
  <c r="N109" i="100"/>
  <c r="N116" i="100" s="1"/>
  <c r="N127" i="100" s="1"/>
  <c r="N129" i="100" s="1"/>
  <c r="N156" i="100" s="1"/>
  <c r="N65" i="100"/>
  <c r="N115" i="100"/>
  <c r="N153" i="100"/>
  <c r="N62" i="100"/>
  <c r="N67" i="100"/>
  <c r="N66" i="100"/>
  <c r="N97" i="100"/>
  <c r="N53" i="100"/>
  <c r="N112" i="100"/>
  <c r="N99" i="100"/>
  <c r="F46" i="115"/>
  <c r="B58" i="115" s="1"/>
  <c r="C58" i="115" s="1"/>
  <c r="P54" i="5"/>
  <c r="N134" i="102" s="1"/>
  <c r="P49" i="5"/>
  <c r="N134" i="97" s="1"/>
  <c r="N136" i="97" s="1"/>
  <c r="N157" i="97" s="1"/>
  <c r="P53" i="5"/>
  <c r="N134" i="101" s="1"/>
  <c r="N136" i="101" s="1"/>
  <c r="N157" i="101" s="1"/>
  <c r="P57" i="5"/>
  <c r="N134" i="105" s="1"/>
  <c r="N136" i="105" s="1"/>
  <c r="N157" i="105" s="1"/>
  <c r="P52" i="5"/>
  <c r="N134" i="100" s="1"/>
  <c r="N136" i="100" s="1"/>
  <c r="N157" i="100" s="1"/>
  <c r="P56" i="5"/>
  <c r="N134" i="104" s="1"/>
  <c r="P51" i="5"/>
  <c r="N134" i="99" s="1"/>
  <c r="N136" i="99" s="1"/>
  <c r="N157" i="99" s="1"/>
  <c r="P40" i="5"/>
  <c r="N134" i="88" s="1"/>
  <c r="N136" i="88" s="1"/>
  <c r="N157" i="88" s="1"/>
  <c r="P43" i="5"/>
  <c r="N134" i="91" s="1"/>
  <c r="N136" i="91" s="1"/>
  <c r="N157" i="91" s="1"/>
  <c r="P39" i="5"/>
  <c r="N134" i="87" s="1"/>
  <c r="N136" i="87" s="1"/>
  <c r="N157" i="87" s="1"/>
  <c r="P42" i="5"/>
  <c r="N134" i="90" s="1"/>
  <c r="N136" i="90" s="1"/>
  <c r="N157" i="90" s="1"/>
  <c r="P45" i="5"/>
  <c r="N134" i="93" s="1"/>
  <c r="N136" i="93" s="1"/>
  <c r="N157" i="93" s="1"/>
  <c r="P41" i="5"/>
  <c r="N134" i="89" s="1"/>
  <c r="N136" i="89" s="1"/>
  <c r="N157" i="89" s="1"/>
  <c r="P44" i="5"/>
  <c r="N134" i="92" s="1"/>
  <c r="N136" i="92" s="1"/>
  <c r="N157" i="92" s="1"/>
  <c r="P37" i="5"/>
  <c r="N134" i="85" s="1"/>
  <c r="N136" i="85" s="1"/>
  <c r="N157" i="85" s="1"/>
  <c r="P38" i="5"/>
  <c r="N134" i="86" s="1"/>
  <c r="N136" i="86" s="1"/>
  <c r="N157" i="86" s="1"/>
  <c r="F14" i="115"/>
  <c r="B59" i="115" s="1"/>
  <c r="C59" i="115" s="1"/>
  <c r="N67" i="101"/>
  <c r="N115" i="101"/>
  <c r="N64" i="101"/>
  <c r="N113" i="101"/>
  <c r="N63" i="101"/>
  <c r="N111" i="101"/>
  <c r="N98" i="101"/>
  <c r="N53" i="101"/>
  <c r="N65" i="101"/>
  <c r="N52" i="101"/>
  <c r="N54" i="101" s="1"/>
  <c r="N88" i="101" s="1"/>
  <c r="N60" i="101"/>
  <c r="N68" i="101" s="1"/>
  <c r="N89" i="101" s="1"/>
  <c r="N109" i="101"/>
  <c r="N112" i="101"/>
  <c r="N61" i="101"/>
  <c r="N62" i="101"/>
  <c r="N153" i="101"/>
  <c r="N95" i="101"/>
  <c r="N100" i="101"/>
  <c r="N66" i="101"/>
  <c r="N62" i="85"/>
  <c r="N65" i="85"/>
  <c r="N95" i="85"/>
  <c r="N98" i="85"/>
  <c r="N66" i="85"/>
  <c r="F12" i="114"/>
  <c r="B67" i="114" s="1"/>
  <c r="C67" i="114" s="1"/>
  <c r="F41" i="113"/>
  <c r="B53" i="113" s="1"/>
  <c r="N136" i="102"/>
  <c r="N157" i="102" s="1"/>
  <c r="N52" i="98"/>
  <c r="N54" i="98" s="1"/>
  <c r="N88" i="98" s="1"/>
  <c r="N91" i="98" s="1"/>
  <c r="N154" i="98" s="1"/>
  <c r="N66" i="98"/>
  <c r="N65" i="98"/>
  <c r="N111" i="98"/>
  <c r="N99" i="98"/>
  <c r="N64" i="98"/>
  <c r="N112" i="98"/>
  <c r="N95" i="98"/>
  <c r="N98" i="98"/>
  <c r="N61" i="98"/>
  <c r="N100" i="98"/>
  <c r="N110" i="98"/>
  <c r="N136" i="96"/>
  <c r="N157" i="96" s="1"/>
  <c r="L68" i="86"/>
  <c r="N136" i="79"/>
  <c r="N157" i="79" s="1"/>
  <c r="N115" i="85"/>
  <c r="N109" i="85"/>
  <c r="N54" i="92"/>
  <c r="N88" i="92" s="1"/>
  <c r="F19" i="107"/>
  <c r="F21" i="107" s="1"/>
  <c r="L147" i="105"/>
  <c r="N67" i="105"/>
  <c r="N115" i="105"/>
  <c r="N110" i="105"/>
  <c r="N66" i="105"/>
  <c r="N61" i="105"/>
  <c r="N100" i="105"/>
  <c r="N99" i="105"/>
  <c r="N60" i="105"/>
  <c r="N109" i="105"/>
  <c r="N116" i="105" s="1"/>
  <c r="N127" i="105" s="1"/>
  <c r="N129" i="105" s="1"/>
  <c r="N156" i="105" s="1"/>
  <c r="N63" i="105"/>
  <c r="N111" i="105"/>
  <c r="N153" i="105"/>
  <c r="N62" i="105"/>
  <c r="N113" i="105"/>
  <c r="N62" i="93"/>
  <c r="N109" i="93"/>
  <c r="N61" i="93"/>
  <c r="N53" i="93"/>
  <c r="N153" i="93"/>
  <c r="N52" i="93"/>
  <c r="N54" i="93" s="1"/>
  <c r="N88" i="93" s="1"/>
  <c r="N98" i="93"/>
  <c r="N63" i="93"/>
  <c r="N111" i="93"/>
  <c r="N110" i="93"/>
  <c r="N60" i="93"/>
  <c r="N113" i="93"/>
  <c r="N65" i="93"/>
  <c r="N115" i="93"/>
  <c r="N82" i="87"/>
  <c r="N90" i="87" s="1"/>
  <c r="N100" i="87"/>
  <c r="N95" i="87"/>
  <c r="N63" i="87"/>
  <c r="N66" i="87"/>
  <c r="N62" i="87"/>
  <c r="N112" i="87"/>
  <c r="N111" i="87"/>
  <c r="N153" i="87"/>
  <c r="N53" i="87"/>
  <c r="N54" i="87" s="1"/>
  <c r="N88" i="87" s="1"/>
  <c r="N91" i="87" s="1"/>
  <c r="N154" i="87" s="1"/>
  <c r="N61" i="87"/>
  <c r="N113" i="87"/>
  <c r="N64" i="87"/>
  <c r="N60" i="87"/>
  <c r="N68" i="87" s="1"/>
  <c r="N89" i="87" s="1"/>
  <c r="L147" i="86"/>
  <c r="C110" i="32"/>
  <c r="N110" i="77"/>
  <c r="N116" i="77" s="1"/>
  <c r="N127" i="77" s="1"/>
  <c r="N129" i="77" s="1"/>
  <c r="N156" i="77" s="1"/>
  <c r="N76" i="77"/>
  <c r="N82" i="77" s="1"/>
  <c r="N90" i="77" s="1"/>
  <c r="M15" i="42"/>
  <c r="N82" i="75"/>
  <c r="N90" i="75" s="1"/>
  <c r="N76" i="74"/>
  <c r="M12" i="42"/>
  <c r="N99" i="85"/>
  <c r="N111" i="85"/>
  <c r="N64" i="85"/>
  <c r="N67" i="98"/>
  <c r="N62" i="98"/>
  <c r="N98" i="105"/>
  <c r="N95" i="105"/>
  <c r="F20" i="111"/>
  <c r="F22" i="111" s="1"/>
  <c r="P46" i="5" s="1"/>
  <c r="N134" i="94" s="1"/>
  <c r="N136" i="94" s="1"/>
  <c r="N157" i="94" s="1"/>
  <c r="N60" i="96"/>
  <c r="N98" i="96"/>
  <c r="N112" i="96"/>
  <c r="N67" i="96"/>
  <c r="N115" i="96"/>
  <c r="N110" i="96"/>
  <c r="N62" i="96"/>
  <c r="N113" i="96"/>
  <c r="N65" i="96"/>
  <c r="N53" i="96"/>
  <c r="N54" i="96" s="1"/>
  <c r="N88" i="96" s="1"/>
  <c r="N64" i="96"/>
  <c r="N95" i="96"/>
  <c r="N65" i="84"/>
  <c r="N111" i="84"/>
  <c r="N153" i="84"/>
  <c r="N60" i="84"/>
  <c r="N98" i="84"/>
  <c r="N63" i="84"/>
  <c r="N115" i="84"/>
  <c r="N99" i="84"/>
  <c r="N109" i="84"/>
  <c r="N67" i="84"/>
  <c r="N53" i="84"/>
  <c r="N54" i="84" s="1"/>
  <c r="N88" i="84" s="1"/>
  <c r="N110" i="84"/>
  <c r="N62" i="84"/>
  <c r="N113" i="84"/>
  <c r="N46" i="76"/>
  <c r="N46" i="72"/>
  <c r="C83" i="32"/>
  <c r="C85" i="32" s="1"/>
  <c r="N52" i="78"/>
  <c r="N54" i="78" s="1"/>
  <c r="N88" i="78" s="1"/>
  <c r="N91" i="78" s="1"/>
  <c r="N154" i="78" s="1"/>
  <c r="N136" i="104"/>
  <c r="N157" i="104" s="1"/>
  <c r="N82" i="92"/>
  <c r="N90" i="92" s="1"/>
  <c r="M21" i="38"/>
  <c r="N76" i="83"/>
  <c r="N82" i="83" s="1"/>
  <c r="N90" i="83" s="1"/>
  <c r="N60" i="85"/>
  <c r="N153" i="85"/>
  <c r="N67" i="85"/>
  <c r="N52" i="85"/>
  <c r="N54" i="85" s="1"/>
  <c r="N88" i="85" s="1"/>
  <c r="N153" i="98"/>
  <c r="N63" i="98"/>
  <c r="N60" i="98"/>
  <c r="N68" i="98" s="1"/>
  <c r="N89" i="98" s="1"/>
  <c r="N64" i="105"/>
  <c r="N53" i="105"/>
  <c r="N54" i="105" s="1"/>
  <c r="N88" i="105" s="1"/>
  <c r="F54" i="114"/>
  <c r="B66" i="114" s="1"/>
  <c r="L143" i="103"/>
  <c r="L147" i="103" s="1"/>
  <c r="N61" i="92"/>
  <c r="N53" i="92"/>
  <c r="N99" i="92"/>
  <c r="N60" i="92"/>
  <c r="N98" i="92"/>
  <c r="N112" i="92"/>
  <c r="N65" i="92"/>
  <c r="N115" i="92"/>
  <c r="N110" i="92"/>
  <c r="N64" i="92"/>
  <c r="N97" i="92"/>
  <c r="N67" i="92"/>
  <c r="N153" i="92"/>
  <c r="N66" i="92"/>
  <c r="N62" i="91"/>
  <c r="N109" i="91"/>
  <c r="N61" i="91"/>
  <c r="N53" i="91"/>
  <c r="N153" i="91"/>
  <c r="N98" i="91"/>
  <c r="N63" i="91"/>
  <c r="N111" i="91"/>
  <c r="N110" i="91"/>
  <c r="N52" i="91"/>
  <c r="N60" i="91"/>
  <c r="N113" i="91"/>
  <c r="N65" i="91"/>
  <c r="N115" i="91"/>
  <c r="N52" i="81"/>
  <c r="N54" i="81" s="1"/>
  <c r="N88" i="81" s="1"/>
  <c r="N66" i="81"/>
  <c r="N97" i="81"/>
  <c r="N65" i="81"/>
  <c r="N111" i="81"/>
  <c r="N99" i="81"/>
  <c r="N60" i="81"/>
  <c r="N68" i="81" s="1"/>
  <c r="N89" i="81" s="1"/>
  <c r="N98" i="81"/>
  <c r="N112" i="81"/>
  <c r="N67" i="81"/>
  <c r="N115" i="81"/>
  <c r="N110" i="81"/>
  <c r="N67" i="80"/>
  <c r="N115" i="80"/>
  <c r="N52" i="80"/>
  <c r="N54" i="80" s="1"/>
  <c r="N88" i="80" s="1"/>
  <c r="N66" i="80"/>
  <c r="N61" i="80"/>
  <c r="N68" i="80" s="1"/>
  <c r="N89" i="80" s="1"/>
  <c r="N53" i="80"/>
  <c r="N99" i="80"/>
  <c r="N98" i="80"/>
  <c r="N112" i="80"/>
  <c r="N116" i="80" s="1"/>
  <c r="N127" i="80" s="1"/>
  <c r="N129" i="80" s="1"/>
  <c r="N156" i="80" s="1"/>
  <c r="L68" i="77"/>
  <c r="N61" i="77"/>
  <c r="N68" i="77" s="1"/>
  <c r="N89" i="77" s="1"/>
  <c r="N91" i="77" s="1"/>
  <c r="N154" i="77" s="1"/>
  <c r="N62" i="73"/>
  <c r="N109" i="73"/>
  <c r="N116" i="73" s="1"/>
  <c r="N127" i="73" s="1"/>
  <c r="N129" i="73" s="1"/>
  <c r="N156" i="73" s="1"/>
  <c r="N61" i="73"/>
  <c r="N53" i="73"/>
  <c r="N54" i="73" s="1"/>
  <c r="N88" i="73" s="1"/>
  <c r="N153" i="73"/>
  <c r="N64" i="73"/>
  <c r="N113" i="73"/>
  <c r="N63" i="73"/>
  <c r="N100" i="73"/>
  <c r="N95" i="73"/>
  <c r="N46" i="104"/>
  <c r="L68" i="101"/>
  <c r="N82" i="99"/>
  <c r="N90" i="99" s="1"/>
  <c r="N46" i="89"/>
  <c r="N46" i="83"/>
  <c r="L143" i="82"/>
  <c r="L147" i="82" s="1"/>
  <c r="N46" i="79"/>
  <c r="N46" i="74"/>
  <c r="C97" i="32"/>
  <c r="C89" i="5"/>
  <c r="C90" i="5"/>
  <c r="N97" i="102" s="1"/>
  <c r="N82" i="88"/>
  <c r="N90" i="88" s="1"/>
  <c r="N91" i="88" s="1"/>
  <c r="N154" i="88" s="1"/>
  <c r="N136" i="84"/>
  <c r="N157" i="84" s="1"/>
  <c r="L143" i="102"/>
  <c r="L147" i="102" s="1"/>
  <c r="N82" i="101"/>
  <c r="N90" i="101" s="1"/>
  <c r="N82" i="98"/>
  <c r="N90" i="98" s="1"/>
  <c r="N46" i="82"/>
  <c r="L147" i="78"/>
  <c r="N82" i="76"/>
  <c r="N90" i="76" s="1"/>
  <c r="L68" i="75"/>
  <c r="N82" i="96"/>
  <c r="N90" i="96" s="1"/>
  <c r="L68" i="96"/>
  <c r="L147" i="94"/>
  <c r="N46" i="94"/>
  <c r="L147" i="91"/>
  <c r="L68" i="88"/>
  <c r="L68" i="87"/>
  <c r="N46" i="86"/>
  <c r="N82" i="82"/>
  <c r="N90" i="82" s="1"/>
  <c r="L68" i="82"/>
  <c r="N82" i="81"/>
  <c r="N90" i="81" s="1"/>
  <c r="L68" i="81"/>
  <c r="L68" i="78"/>
  <c r="L68" i="73"/>
  <c r="D77" i="32"/>
  <c r="N46" i="99"/>
  <c r="L147" i="96"/>
  <c r="N82" i="94"/>
  <c r="N90" i="94" s="1"/>
  <c r="L143" i="91"/>
  <c r="N82" i="91"/>
  <c r="N90" i="91" s="1"/>
  <c r="L68" i="91"/>
  <c r="N46" i="90"/>
  <c r="L143" i="84"/>
  <c r="L147" i="84" s="1"/>
  <c r="N136" i="81"/>
  <c r="N157" i="81" s="1"/>
  <c r="N82" i="80"/>
  <c r="N90" i="80" s="1"/>
  <c r="L68" i="80"/>
  <c r="N46" i="75"/>
  <c r="L143" i="74"/>
  <c r="L147" i="74" s="1"/>
  <c r="G60" i="42"/>
  <c r="G74" i="42" s="1"/>
  <c r="S16" i="42"/>
  <c r="T16" i="42" s="1"/>
  <c r="L143" i="75"/>
  <c r="L147" i="75" s="1"/>
  <c r="L68" i="74"/>
  <c r="H24" i="5"/>
  <c r="H34" i="5"/>
  <c r="H35" i="5"/>
  <c r="H38" i="5"/>
  <c r="H41" i="5"/>
  <c r="H44" i="5"/>
  <c r="H49" i="5"/>
  <c r="H51" i="5"/>
  <c r="H56" i="5"/>
  <c r="H30" i="5"/>
  <c r="H33" i="5"/>
  <c r="H39" i="5"/>
  <c r="H48" i="5" s="1"/>
  <c r="H42" i="5"/>
  <c r="H45" i="5"/>
  <c r="H50" i="5"/>
  <c r="L143" i="78"/>
  <c r="N82" i="74"/>
  <c r="N90" i="74" s="1"/>
  <c r="S23" i="38"/>
  <c r="T23" i="38" s="1"/>
  <c r="S31" i="42"/>
  <c r="T31" i="42" s="1"/>
  <c r="S12" i="42"/>
  <c r="T12" i="42" s="1"/>
  <c r="S10" i="42"/>
  <c r="T10" i="42" s="1"/>
  <c r="I60" i="38"/>
  <c r="I74" i="38" s="1"/>
  <c r="F74" i="38"/>
  <c r="S11" i="38"/>
  <c r="T11" i="38" s="1"/>
  <c r="S7" i="42"/>
  <c r="N96" i="77" l="1"/>
  <c r="N96" i="81"/>
  <c r="N101" i="81" s="1"/>
  <c r="N155" i="81" s="1"/>
  <c r="N96" i="78"/>
  <c r="N96" i="84"/>
  <c r="N96" i="105"/>
  <c r="N96" i="88"/>
  <c r="N101" i="88" s="1"/>
  <c r="N155" i="88" s="1"/>
  <c r="N158" i="88" s="1"/>
  <c r="C100" i="5"/>
  <c r="N96" i="80"/>
  <c r="N61" i="72"/>
  <c r="N98" i="72"/>
  <c r="N95" i="72"/>
  <c r="N101" i="72" s="1"/>
  <c r="N156" i="72" s="1"/>
  <c r="N96" i="72"/>
  <c r="N66" i="72"/>
  <c r="N97" i="72"/>
  <c r="N62" i="72"/>
  <c r="N99" i="72"/>
  <c r="N112" i="72"/>
  <c r="N63" i="72"/>
  <c r="N114" i="72"/>
  <c r="N60" i="72"/>
  <c r="N53" i="72"/>
  <c r="N100" i="72"/>
  <c r="N110" i="72"/>
  <c r="N52" i="72"/>
  <c r="N154" i="72"/>
  <c r="N67" i="72"/>
  <c r="N64" i="72"/>
  <c r="N111" i="72"/>
  <c r="N116" i="72"/>
  <c r="N65" i="72"/>
  <c r="N115" i="72"/>
  <c r="N113" i="72"/>
  <c r="N101" i="87"/>
  <c r="N155" i="87" s="1"/>
  <c r="N158" i="87" s="1"/>
  <c r="N96" i="98"/>
  <c r="T7" i="42"/>
  <c r="T35" i="42" s="1"/>
  <c r="S35" i="42"/>
  <c r="N91" i="85"/>
  <c r="N154" i="85" s="1"/>
  <c r="N68" i="85"/>
  <c r="N89" i="85" s="1"/>
  <c r="N67" i="76"/>
  <c r="N115" i="76"/>
  <c r="N110" i="76"/>
  <c r="N66" i="76"/>
  <c r="N97" i="76"/>
  <c r="N61" i="76"/>
  <c r="N96" i="76"/>
  <c r="N53" i="76"/>
  <c r="N153" i="76"/>
  <c r="N60" i="76"/>
  <c r="N98" i="76"/>
  <c r="N112" i="76"/>
  <c r="N63" i="76"/>
  <c r="N95" i="76"/>
  <c r="N62" i="76"/>
  <c r="N65" i="76"/>
  <c r="N99" i="76"/>
  <c r="N64" i="76"/>
  <c r="N100" i="76"/>
  <c r="N52" i="76"/>
  <c r="N54" i="76" s="1"/>
  <c r="N88" i="76" s="1"/>
  <c r="N109" i="76"/>
  <c r="N116" i="76" s="1"/>
  <c r="N127" i="76" s="1"/>
  <c r="N129" i="76" s="1"/>
  <c r="N156" i="76" s="1"/>
  <c r="N111" i="76"/>
  <c r="N113" i="76"/>
  <c r="N114" i="76"/>
  <c r="N91" i="84"/>
  <c r="N154" i="84" s="1"/>
  <c r="N68" i="84"/>
  <c r="N89" i="84" s="1"/>
  <c r="N116" i="96"/>
  <c r="N127" i="96" s="1"/>
  <c r="N129" i="96" s="1"/>
  <c r="N156" i="96" s="1"/>
  <c r="N116" i="93"/>
  <c r="N127" i="93" s="1"/>
  <c r="N129" i="93" s="1"/>
  <c r="N156" i="93" s="1"/>
  <c r="N158" i="105"/>
  <c r="N68" i="105"/>
  <c r="N89" i="105" s="1"/>
  <c r="N97" i="105"/>
  <c r="N116" i="85"/>
  <c r="N127" i="85" s="1"/>
  <c r="N129" i="85" s="1"/>
  <c r="N156" i="85" s="1"/>
  <c r="N91" i="101"/>
  <c r="N154" i="101" s="1"/>
  <c r="N96" i="100"/>
  <c r="N68" i="100"/>
  <c r="N89" i="100" s="1"/>
  <c r="N116" i="103"/>
  <c r="N127" i="103" s="1"/>
  <c r="N129" i="103" s="1"/>
  <c r="N156" i="103" s="1"/>
  <c r="N68" i="103"/>
  <c r="N89" i="103" s="1"/>
  <c r="C57" i="115"/>
  <c r="B60" i="115"/>
  <c r="N97" i="97"/>
  <c r="N67" i="90"/>
  <c r="N115" i="90"/>
  <c r="N110" i="90"/>
  <c r="N66" i="90"/>
  <c r="N97" i="90"/>
  <c r="N96" i="90"/>
  <c r="N95" i="90"/>
  <c r="N98" i="90"/>
  <c r="N61" i="90"/>
  <c r="N100" i="90"/>
  <c r="N99" i="90"/>
  <c r="N60" i="90"/>
  <c r="N109" i="90"/>
  <c r="N111" i="90"/>
  <c r="N62" i="90"/>
  <c r="N53" i="90"/>
  <c r="N64" i="90"/>
  <c r="N63" i="90"/>
  <c r="N153" i="90"/>
  <c r="N113" i="90"/>
  <c r="N65" i="90"/>
  <c r="N52" i="90"/>
  <c r="N54" i="90" s="1"/>
  <c r="N88" i="90" s="1"/>
  <c r="N112" i="90"/>
  <c r="N114" i="90"/>
  <c r="N62" i="79"/>
  <c r="N109" i="79"/>
  <c r="N61" i="79"/>
  <c r="N96" i="79"/>
  <c r="N53" i="79"/>
  <c r="N153" i="79"/>
  <c r="N64" i="79"/>
  <c r="N113" i="79"/>
  <c r="N63" i="79"/>
  <c r="N100" i="79"/>
  <c r="N95" i="79"/>
  <c r="N52" i="79"/>
  <c r="N54" i="79" s="1"/>
  <c r="N88" i="79" s="1"/>
  <c r="N97" i="79"/>
  <c r="N111" i="79"/>
  <c r="N60" i="79"/>
  <c r="N112" i="79"/>
  <c r="N115" i="79"/>
  <c r="N66" i="79"/>
  <c r="N65" i="79"/>
  <c r="N99" i="79"/>
  <c r="N98" i="79"/>
  <c r="N67" i="79"/>
  <c r="N110" i="79"/>
  <c r="N114" i="79"/>
  <c r="N116" i="91"/>
  <c r="N127" i="91" s="1"/>
  <c r="N129" i="91" s="1"/>
  <c r="N156" i="91" s="1"/>
  <c r="N68" i="92"/>
  <c r="N89" i="92" s="1"/>
  <c r="N91" i="92" s="1"/>
  <c r="N154" i="92" s="1"/>
  <c r="N158" i="92" s="1"/>
  <c r="N101" i="105"/>
  <c r="N155" i="105" s="1"/>
  <c r="N96" i="101"/>
  <c r="N101" i="101" s="1"/>
  <c r="N155" i="101" s="1"/>
  <c r="N158" i="101" s="1"/>
  <c r="N61" i="82"/>
  <c r="N96" i="82"/>
  <c r="N53" i="82"/>
  <c r="N153" i="82"/>
  <c r="N98" i="82"/>
  <c r="N112" i="82"/>
  <c r="N63" i="82"/>
  <c r="N100" i="82"/>
  <c r="N95" i="82"/>
  <c r="N101" i="82" s="1"/>
  <c r="N155" i="82" s="1"/>
  <c r="N52" i="82"/>
  <c r="N62" i="82"/>
  <c r="N109" i="82"/>
  <c r="N115" i="82"/>
  <c r="N110" i="82"/>
  <c r="N66" i="82"/>
  <c r="N65" i="82"/>
  <c r="N60" i="82"/>
  <c r="N113" i="82"/>
  <c r="N67" i="82"/>
  <c r="N97" i="82"/>
  <c r="N111" i="82"/>
  <c r="N99" i="82"/>
  <c r="N64" i="82"/>
  <c r="N114" i="82"/>
  <c r="N67" i="99"/>
  <c r="N115" i="99"/>
  <c r="N110" i="99"/>
  <c r="N62" i="99"/>
  <c r="N109" i="99"/>
  <c r="N96" i="99"/>
  <c r="N95" i="99"/>
  <c r="N101" i="99" s="1"/>
  <c r="N155" i="99" s="1"/>
  <c r="N60" i="99"/>
  <c r="N113" i="99"/>
  <c r="N61" i="99"/>
  <c r="N100" i="99"/>
  <c r="N99" i="99"/>
  <c r="N64" i="99"/>
  <c r="N97" i="99"/>
  <c r="N111" i="99"/>
  <c r="N66" i="99"/>
  <c r="N53" i="99"/>
  <c r="N98" i="99"/>
  <c r="N114" i="99"/>
  <c r="N63" i="99"/>
  <c r="N153" i="99"/>
  <c r="N112" i="99"/>
  <c r="N65" i="99"/>
  <c r="N52" i="99"/>
  <c r="N65" i="86"/>
  <c r="N111" i="86"/>
  <c r="N153" i="86"/>
  <c r="N64" i="86"/>
  <c r="N113" i="86"/>
  <c r="N61" i="86"/>
  <c r="N100" i="86"/>
  <c r="N95" i="86"/>
  <c r="N60" i="86"/>
  <c r="N109" i="86"/>
  <c r="N63" i="86"/>
  <c r="N115" i="86"/>
  <c r="N99" i="86"/>
  <c r="N62" i="86"/>
  <c r="N97" i="86"/>
  <c r="N67" i="86"/>
  <c r="N110" i="86"/>
  <c r="N112" i="86"/>
  <c r="N96" i="86"/>
  <c r="N52" i="86"/>
  <c r="N114" i="86"/>
  <c r="N53" i="86"/>
  <c r="N66" i="86"/>
  <c r="N98" i="86"/>
  <c r="N63" i="94"/>
  <c r="N100" i="94"/>
  <c r="N95" i="94"/>
  <c r="N52" i="94"/>
  <c r="N66" i="94"/>
  <c r="N97" i="94"/>
  <c r="N61" i="94"/>
  <c r="N111" i="94"/>
  <c r="N110" i="94"/>
  <c r="N64" i="94"/>
  <c r="N112" i="94"/>
  <c r="N65" i="94"/>
  <c r="N115" i="94"/>
  <c r="N153" i="94"/>
  <c r="N98" i="94"/>
  <c r="N67" i="94"/>
  <c r="N60" i="94"/>
  <c r="N96" i="94"/>
  <c r="N62" i="94"/>
  <c r="N114" i="94"/>
  <c r="N53" i="94"/>
  <c r="N109" i="94"/>
  <c r="N99" i="94"/>
  <c r="N113" i="94"/>
  <c r="N113" i="74"/>
  <c r="N64" i="74"/>
  <c r="N153" i="74"/>
  <c r="N53" i="74"/>
  <c r="N100" i="74"/>
  <c r="N63" i="74"/>
  <c r="N109" i="74"/>
  <c r="N116" i="74" s="1"/>
  <c r="N127" i="74" s="1"/>
  <c r="N129" i="74" s="1"/>
  <c r="N156" i="74" s="1"/>
  <c r="N62" i="74"/>
  <c r="N52" i="74"/>
  <c r="N54" i="74" s="1"/>
  <c r="N88" i="74" s="1"/>
  <c r="N99" i="74"/>
  <c r="N96" i="74"/>
  <c r="N98" i="74"/>
  <c r="N95" i="74"/>
  <c r="N67" i="74"/>
  <c r="N61" i="74"/>
  <c r="N112" i="74"/>
  <c r="N66" i="74"/>
  <c r="N115" i="74"/>
  <c r="N65" i="74"/>
  <c r="N60" i="74"/>
  <c r="N110" i="74"/>
  <c r="N111" i="74"/>
  <c r="N97" i="74"/>
  <c r="N114" i="74"/>
  <c r="N60" i="83"/>
  <c r="N98" i="83"/>
  <c r="N112" i="83"/>
  <c r="N67" i="83"/>
  <c r="N115" i="83"/>
  <c r="N95" i="83"/>
  <c r="N64" i="83"/>
  <c r="N97" i="83"/>
  <c r="N96" i="83"/>
  <c r="N66" i="83"/>
  <c r="N61" i="83"/>
  <c r="N100" i="83"/>
  <c r="N153" i="83"/>
  <c r="N52" i="83"/>
  <c r="N63" i="83"/>
  <c r="N99" i="83"/>
  <c r="N62" i="83"/>
  <c r="N65" i="83"/>
  <c r="N110" i="83"/>
  <c r="N109" i="83"/>
  <c r="N111" i="83"/>
  <c r="N113" i="83"/>
  <c r="N53" i="83"/>
  <c r="N114" i="83"/>
  <c r="N110" i="104"/>
  <c r="N96" i="104"/>
  <c r="N61" i="104"/>
  <c r="N98" i="104"/>
  <c r="N60" i="104"/>
  <c r="N99" i="104"/>
  <c r="N111" i="104"/>
  <c r="N63" i="104"/>
  <c r="N113" i="104"/>
  <c r="N62" i="104"/>
  <c r="N112" i="104"/>
  <c r="N95" i="104"/>
  <c r="N100" i="104"/>
  <c r="N109" i="104"/>
  <c r="N67" i="104"/>
  <c r="N66" i="104"/>
  <c r="N153" i="104"/>
  <c r="N65" i="104"/>
  <c r="N64" i="104"/>
  <c r="N52" i="104"/>
  <c r="N97" i="104"/>
  <c r="N53" i="104"/>
  <c r="N115" i="104"/>
  <c r="N114" i="104"/>
  <c r="N96" i="73"/>
  <c r="N97" i="80"/>
  <c r="N91" i="81"/>
  <c r="N154" i="81" s="1"/>
  <c r="N158" i="81" s="1"/>
  <c r="N68" i="91"/>
  <c r="N89" i="91" s="1"/>
  <c r="N96" i="91"/>
  <c r="N101" i="91" s="1"/>
  <c r="N155" i="91" s="1"/>
  <c r="C66" i="114"/>
  <c r="B68" i="114"/>
  <c r="N96" i="96"/>
  <c r="N101" i="96" s="1"/>
  <c r="N155" i="96" s="1"/>
  <c r="N68" i="96"/>
  <c r="N89" i="96" s="1"/>
  <c r="N91" i="96" s="1"/>
  <c r="N154" i="96" s="1"/>
  <c r="N116" i="87"/>
  <c r="N127" i="87" s="1"/>
  <c r="N129" i="87" s="1"/>
  <c r="N156" i="87" s="1"/>
  <c r="N96" i="87"/>
  <c r="N97" i="98"/>
  <c r="N101" i="98" s="1"/>
  <c r="N155" i="98" s="1"/>
  <c r="N158" i="98" s="1"/>
  <c r="C53" i="113"/>
  <c r="B54" i="113"/>
  <c r="N54" i="100"/>
  <c r="N88" i="100" s="1"/>
  <c r="N116" i="102"/>
  <c r="N127" i="102" s="1"/>
  <c r="N129" i="102" s="1"/>
  <c r="N156" i="102" s="1"/>
  <c r="N96" i="103"/>
  <c r="N101" i="103" s="1"/>
  <c r="N155" i="103" s="1"/>
  <c r="N91" i="80"/>
  <c r="N154" i="80" s="1"/>
  <c r="N91" i="103"/>
  <c r="N154" i="103" s="1"/>
  <c r="N68" i="97"/>
  <c r="N89" i="97" s="1"/>
  <c r="N91" i="97" s="1"/>
  <c r="N154" i="97" s="1"/>
  <c r="C99" i="32"/>
  <c r="N66" i="75"/>
  <c r="N97" i="75"/>
  <c r="N65" i="75"/>
  <c r="N111" i="75"/>
  <c r="N153" i="75"/>
  <c r="N60" i="75"/>
  <c r="N98" i="75"/>
  <c r="N112" i="75"/>
  <c r="N67" i="75"/>
  <c r="N115" i="75"/>
  <c r="N64" i="75"/>
  <c r="N63" i="75"/>
  <c r="N95" i="75"/>
  <c r="N101" i="75" s="1"/>
  <c r="N155" i="75" s="1"/>
  <c r="N52" i="75"/>
  <c r="N109" i="75"/>
  <c r="N116" i="75" s="1"/>
  <c r="N127" i="75" s="1"/>
  <c r="N129" i="75" s="1"/>
  <c r="N156" i="75" s="1"/>
  <c r="N96" i="75"/>
  <c r="N99" i="75"/>
  <c r="N113" i="75"/>
  <c r="N100" i="75"/>
  <c r="N110" i="75"/>
  <c r="N62" i="75"/>
  <c r="N61" i="75"/>
  <c r="N53" i="75"/>
  <c r="N114" i="75"/>
  <c r="C98" i="32"/>
  <c r="C103" i="32" s="1"/>
  <c r="C122" i="32" s="1"/>
  <c r="C101" i="32"/>
  <c r="C86" i="32"/>
  <c r="C120" i="32"/>
  <c r="C92" i="32"/>
  <c r="C93" i="32" s="1"/>
  <c r="C121" i="32" s="1"/>
  <c r="N97" i="93"/>
  <c r="N97" i="91"/>
  <c r="N97" i="73"/>
  <c r="N97" i="78"/>
  <c r="N97" i="77"/>
  <c r="N97" i="88"/>
  <c r="N60" i="89"/>
  <c r="N98" i="89"/>
  <c r="N112" i="89"/>
  <c r="N67" i="89"/>
  <c r="N115" i="89"/>
  <c r="N110" i="89"/>
  <c r="N62" i="89"/>
  <c r="N113" i="89"/>
  <c r="N65" i="89"/>
  <c r="N53" i="89"/>
  <c r="N52" i="89"/>
  <c r="N54" i="89" s="1"/>
  <c r="N88" i="89" s="1"/>
  <c r="N64" i="89"/>
  <c r="N97" i="89"/>
  <c r="N96" i="89"/>
  <c r="N95" i="89"/>
  <c r="N66" i="89"/>
  <c r="N100" i="89"/>
  <c r="N109" i="89"/>
  <c r="N111" i="89"/>
  <c r="N61" i="89"/>
  <c r="N99" i="89"/>
  <c r="N63" i="89"/>
  <c r="N153" i="89"/>
  <c r="N114" i="89"/>
  <c r="N101" i="73"/>
  <c r="N155" i="73" s="1"/>
  <c r="N68" i="73"/>
  <c r="N89" i="73" s="1"/>
  <c r="N91" i="73" s="1"/>
  <c r="N154" i="73" s="1"/>
  <c r="N158" i="73" s="1"/>
  <c r="N116" i="81"/>
  <c r="N127" i="81" s="1"/>
  <c r="N129" i="81" s="1"/>
  <c r="N156" i="81" s="1"/>
  <c r="N54" i="91"/>
  <c r="N88" i="91" s="1"/>
  <c r="N91" i="91" s="1"/>
  <c r="N154" i="91" s="1"/>
  <c r="N158" i="91" s="1"/>
  <c r="N116" i="92"/>
  <c r="N127" i="92" s="1"/>
  <c r="N129" i="92" s="1"/>
  <c r="N156" i="92" s="1"/>
  <c r="N96" i="92"/>
  <c r="N101" i="92" s="1"/>
  <c r="N155" i="92" s="1"/>
  <c r="N91" i="105"/>
  <c r="N154" i="105" s="1"/>
  <c r="C87" i="32"/>
  <c r="C119" i="32" s="1"/>
  <c r="N116" i="84"/>
  <c r="N127" i="84" s="1"/>
  <c r="N129" i="84" s="1"/>
  <c r="N156" i="84" s="1"/>
  <c r="N97" i="84"/>
  <c r="N97" i="96"/>
  <c r="N96" i="85"/>
  <c r="N101" i="85" s="1"/>
  <c r="N155" i="85" s="1"/>
  <c r="N158" i="85" s="1"/>
  <c r="N97" i="87"/>
  <c r="N68" i="93"/>
  <c r="N89" i="93" s="1"/>
  <c r="N91" i="93" s="1"/>
  <c r="N154" i="93" s="1"/>
  <c r="N96" i="93"/>
  <c r="P34" i="5"/>
  <c r="N134" i="83" s="1"/>
  <c r="N136" i="83" s="1"/>
  <c r="N157" i="83" s="1"/>
  <c r="P33" i="5"/>
  <c r="N134" i="82" s="1"/>
  <c r="N136" i="82" s="1"/>
  <c r="N157" i="82" s="1"/>
  <c r="N116" i="98"/>
  <c r="N127" i="98" s="1"/>
  <c r="N129" i="98" s="1"/>
  <c r="N156" i="98" s="1"/>
  <c r="N97" i="85"/>
  <c r="N116" i="101"/>
  <c r="N127" i="101" s="1"/>
  <c r="N129" i="101" s="1"/>
  <c r="N156" i="101" s="1"/>
  <c r="N97" i="101"/>
  <c r="N101" i="100"/>
  <c r="N155" i="100" s="1"/>
  <c r="N96" i="102"/>
  <c r="N101" i="102" s="1"/>
  <c r="N155" i="102" s="1"/>
  <c r="N158" i="102" s="1"/>
  <c r="N97" i="103"/>
  <c r="N116" i="97"/>
  <c r="N127" i="97" s="1"/>
  <c r="N129" i="97" s="1"/>
  <c r="N156" i="97" s="1"/>
  <c r="N96" i="97"/>
  <c r="N101" i="97" s="1"/>
  <c r="N155" i="97" s="1"/>
  <c r="N142" i="92" l="1"/>
  <c r="N146" i="92" s="1"/>
  <c r="N141" i="92"/>
  <c r="N158" i="96"/>
  <c r="N141" i="73"/>
  <c r="N141" i="85"/>
  <c r="N141" i="91"/>
  <c r="N145" i="91" s="1"/>
  <c r="N142" i="91"/>
  <c r="N144" i="91" s="1"/>
  <c r="N141" i="98"/>
  <c r="N142" i="98"/>
  <c r="N146" i="98" s="1"/>
  <c r="N141" i="101"/>
  <c r="N144" i="101"/>
  <c r="N142" i="101"/>
  <c r="N146" i="101" s="1"/>
  <c r="N142" i="88"/>
  <c r="N146" i="88" s="1"/>
  <c r="N141" i="88"/>
  <c r="N145" i="88"/>
  <c r="N158" i="97"/>
  <c r="N141" i="102"/>
  <c r="N144" i="102"/>
  <c r="N142" i="102"/>
  <c r="N146" i="102" s="1"/>
  <c r="N158" i="103"/>
  <c r="N141" i="87"/>
  <c r="N142" i="87"/>
  <c r="N146" i="87" s="1"/>
  <c r="N158" i="75"/>
  <c r="N141" i="81"/>
  <c r="N141" i="105"/>
  <c r="N146" i="105" s="1"/>
  <c r="N142" i="105"/>
  <c r="N145" i="105" s="1"/>
  <c r="N101" i="93"/>
  <c r="N155" i="93" s="1"/>
  <c r="N158" i="93" s="1"/>
  <c r="N116" i="104"/>
  <c r="N127" i="104" s="1"/>
  <c r="N129" i="104" s="1"/>
  <c r="N156" i="104" s="1"/>
  <c r="N54" i="83"/>
  <c r="N88" i="83" s="1"/>
  <c r="N101" i="83"/>
  <c r="N155" i="83" s="1"/>
  <c r="N116" i="94"/>
  <c r="N127" i="94" s="1"/>
  <c r="N129" i="94" s="1"/>
  <c r="N156" i="94" s="1"/>
  <c r="N116" i="86"/>
  <c r="N127" i="86" s="1"/>
  <c r="N129" i="86" s="1"/>
  <c r="N156" i="86" s="1"/>
  <c r="N54" i="82"/>
  <c r="N88" i="82" s="1"/>
  <c r="N116" i="90"/>
  <c r="N127" i="90" s="1"/>
  <c r="N129" i="90" s="1"/>
  <c r="N156" i="90" s="1"/>
  <c r="B61" i="115"/>
  <c r="C61" i="115" s="1"/>
  <c r="B64" i="115"/>
  <c r="C64" i="115" s="1"/>
  <c r="B62" i="115"/>
  <c r="C62" i="115" s="1"/>
  <c r="C60" i="115"/>
  <c r="N54" i="72"/>
  <c r="N88" i="72" s="1"/>
  <c r="N68" i="72"/>
  <c r="N89" i="72" s="1"/>
  <c r="N101" i="77"/>
  <c r="N155" i="77" s="1"/>
  <c r="N158" i="77" s="1"/>
  <c r="C125" i="32"/>
  <c r="N101" i="94"/>
  <c r="N155" i="94" s="1"/>
  <c r="N91" i="90"/>
  <c r="N154" i="90" s="1"/>
  <c r="N158" i="90" s="1"/>
  <c r="N101" i="89"/>
  <c r="N155" i="89" s="1"/>
  <c r="C54" i="113"/>
  <c r="B55" i="113"/>
  <c r="C55" i="113" s="1"/>
  <c r="N68" i="104"/>
  <c r="N89" i="104" s="1"/>
  <c r="N68" i="83"/>
  <c r="N89" i="83" s="1"/>
  <c r="N101" i="74"/>
  <c r="N155" i="74" s="1"/>
  <c r="N68" i="94"/>
  <c r="N89" i="94" s="1"/>
  <c r="N68" i="86"/>
  <c r="N89" i="86" s="1"/>
  <c r="N116" i="99"/>
  <c r="N127" i="99" s="1"/>
  <c r="N129" i="99" s="1"/>
  <c r="N156" i="99" s="1"/>
  <c r="N68" i="82"/>
  <c r="N89" i="82" s="1"/>
  <c r="N68" i="90"/>
  <c r="N89" i="90" s="1"/>
  <c r="N117" i="72"/>
  <c r="N128" i="72" s="1"/>
  <c r="N130" i="72" s="1"/>
  <c r="N157" i="72" s="1"/>
  <c r="N101" i="80"/>
  <c r="N155" i="80" s="1"/>
  <c r="N158" i="80" s="1"/>
  <c r="N101" i="84"/>
  <c r="N155" i="84" s="1"/>
  <c r="N158" i="84" s="1"/>
  <c r="N68" i="89"/>
  <c r="N89" i="89" s="1"/>
  <c r="C68" i="114"/>
  <c r="B69" i="114"/>
  <c r="C69" i="114" s="1"/>
  <c r="N116" i="79"/>
  <c r="N127" i="79" s="1"/>
  <c r="N129" i="79" s="1"/>
  <c r="N156" i="79" s="1"/>
  <c r="N91" i="89"/>
  <c r="N154" i="89" s="1"/>
  <c r="N158" i="89" s="1"/>
  <c r="N116" i="89"/>
  <c r="N127" i="89" s="1"/>
  <c r="N129" i="89" s="1"/>
  <c r="N156" i="89" s="1"/>
  <c r="N54" i="75"/>
  <c r="N88" i="75" s="1"/>
  <c r="N91" i="75" s="1"/>
  <c r="N154" i="75" s="1"/>
  <c r="N68" i="75"/>
  <c r="N89" i="75" s="1"/>
  <c r="N91" i="100"/>
  <c r="N154" i="100" s="1"/>
  <c r="N158" i="100" s="1"/>
  <c r="N54" i="104"/>
  <c r="N88" i="104" s="1"/>
  <c r="N91" i="104" s="1"/>
  <c r="N154" i="104" s="1"/>
  <c r="N158" i="104" s="1"/>
  <c r="N101" i="104"/>
  <c r="N155" i="104" s="1"/>
  <c r="N116" i="83"/>
  <c r="N127" i="83" s="1"/>
  <c r="N129" i="83" s="1"/>
  <c r="N156" i="83" s="1"/>
  <c r="N68" i="74"/>
  <c r="N89" i="74" s="1"/>
  <c r="N91" i="74" s="1"/>
  <c r="N154" i="74" s="1"/>
  <c r="N158" i="74" s="1"/>
  <c r="N54" i="94"/>
  <c r="N88" i="94" s="1"/>
  <c r="N54" i="86"/>
  <c r="N88" i="86" s="1"/>
  <c r="N91" i="86" s="1"/>
  <c r="N154" i="86" s="1"/>
  <c r="N158" i="86" s="1"/>
  <c r="N101" i="86"/>
  <c r="N155" i="86" s="1"/>
  <c r="N54" i="99"/>
  <c r="N88" i="99" s="1"/>
  <c r="N91" i="99" s="1"/>
  <c r="N154" i="99" s="1"/>
  <c r="N158" i="99" s="1"/>
  <c r="N68" i="99"/>
  <c r="N89" i="99" s="1"/>
  <c r="N116" i="82"/>
  <c r="N127" i="82" s="1"/>
  <c r="N129" i="82" s="1"/>
  <c r="N156" i="82" s="1"/>
  <c r="N68" i="79"/>
  <c r="N89" i="79" s="1"/>
  <c r="N91" i="79" s="1"/>
  <c r="N154" i="79" s="1"/>
  <c r="N158" i="79" s="1"/>
  <c r="N101" i="79"/>
  <c r="N155" i="79" s="1"/>
  <c r="N101" i="90"/>
  <c r="N155" i="90" s="1"/>
  <c r="N101" i="76"/>
  <c r="N155" i="76" s="1"/>
  <c r="N68" i="76"/>
  <c r="N89" i="76" s="1"/>
  <c r="N91" i="76" s="1"/>
  <c r="N154" i="76" s="1"/>
  <c r="N158" i="76" s="1"/>
  <c r="C101" i="5"/>
  <c r="C112" i="32"/>
  <c r="C113" i="32" s="1"/>
  <c r="N101" i="78"/>
  <c r="N155" i="78" s="1"/>
  <c r="N158" i="78" s="1"/>
  <c r="N141" i="104" l="1"/>
  <c r="N145" i="104" s="1"/>
  <c r="N142" i="104"/>
  <c r="N144" i="104" s="1"/>
  <c r="N146" i="104"/>
  <c r="N142" i="99"/>
  <c r="N145" i="99" s="1"/>
  <c r="N146" i="99"/>
  <c r="N141" i="99"/>
  <c r="N144" i="99"/>
  <c r="N141" i="74"/>
  <c r="N141" i="89"/>
  <c r="N142" i="89"/>
  <c r="N145" i="89" s="1"/>
  <c r="N141" i="93"/>
  <c r="N144" i="93"/>
  <c r="N145" i="93"/>
  <c r="N142" i="93"/>
  <c r="N146" i="93" s="1"/>
  <c r="N142" i="76"/>
  <c r="N146" i="76"/>
  <c r="N141" i="76"/>
  <c r="N144" i="76"/>
  <c r="N141" i="84"/>
  <c r="N141" i="90"/>
  <c r="N141" i="79"/>
  <c r="N142" i="79"/>
  <c r="N146" i="79"/>
  <c r="N145" i="79"/>
  <c r="N141" i="86"/>
  <c r="N142" i="86"/>
  <c r="N145" i="86" s="1"/>
  <c r="N141" i="80"/>
  <c r="N142" i="80"/>
  <c r="N145" i="80" s="1"/>
  <c r="N144" i="80"/>
  <c r="N145" i="85"/>
  <c r="N145" i="100"/>
  <c r="N141" i="100"/>
  <c r="N142" i="100"/>
  <c r="N146" i="100" s="1"/>
  <c r="N147" i="73"/>
  <c r="N159" i="73" s="1"/>
  <c r="N160" i="73" s="1"/>
  <c r="N141" i="96"/>
  <c r="C114" i="32"/>
  <c r="C115" i="32" s="1"/>
  <c r="C123" i="32" s="1"/>
  <c r="B63" i="115"/>
  <c r="N91" i="83"/>
  <c r="N154" i="83" s="1"/>
  <c r="N158" i="83" s="1"/>
  <c r="N144" i="105"/>
  <c r="N142" i="81"/>
  <c r="N145" i="87"/>
  <c r="N147" i="87" s="1"/>
  <c r="N159" i="87" s="1"/>
  <c r="N160" i="87" s="1"/>
  <c r="N144" i="87"/>
  <c r="N146" i="91"/>
  <c r="N142" i="73"/>
  <c r="N144" i="73"/>
  <c r="N141" i="78"/>
  <c r="N142" i="78" s="1"/>
  <c r="N141" i="77"/>
  <c r="N91" i="82"/>
  <c r="N154" i="82" s="1"/>
  <c r="N158" i="82" s="1"/>
  <c r="N141" i="75"/>
  <c r="B70" i="114"/>
  <c r="C70" i="114" s="1"/>
  <c r="B56" i="113"/>
  <c r="B59" i="113" s="1"/>
  <c r="C59" i="113" s="1"/>
  <c r="N91" i="72"/>
  <c r="N155" i="72" s="1"/>
  <c r="N159" i="72" s="1"/>
  <c r="B65" i="115"/>
  <c r="C65" i="115" s="1"/>
  <c r="N144" i="97"/>
  <c r="N141" i="97"/>
  <c r="N142" i="97"/>
  <c r="N145" i="97"/>
  <c r="N145" i="101"/>
  <c r="N147" i="101" s="1"/>
  <c r="N159" i="101" s="1"/>
  <c r="N160" i="101" s="1"/>
  <c r="N145" i="98"/>
  <c r="N147" i="98" s="1"/>
  <c r="N159" i="98" s="1"/>
  <c r="N160" i="98" s="1"/>
  <c r="N147" i="91"/>
  <c r="N159" i="91" s="1"/>
  <c r="N160" i="91" s="1"/>
  <c r="N145" i="73"/>
  <c r="N145" i="92"/>
  <c r="N91" i="94"/>
  <c r="N154" i="94" s="1"/>
  <c r="N158" i="94" s="1"/>
  <c r="B72" i="114"/>
  <c r="C72" i="114" s="1"/>
  <c r="B58" i="113"/>
  <c r="C58" i="113" s="1"/>
  <c r="N147" i="105"/>
  <c r="N159" i="105" s="1"/>
  <c r="N160" i="105" s="1"/>
  <c r="N141" i="103"/>
  <c r="N144" i="103" s="1"/>
  <c r="N142" i="103"/>
  <c r="N145" i="103" s="1"/>
  <c r="N145" i="102"/>
  <c r="N147" i="102" s="1"/>
  <c r="N159" i="102" s="1"/>
  <c r="N160" i="102" s="1"/>
  <c r="N144" i="88"/>
  <c r="N147" i="88" s="1"/>
  <c r="N159" i="88" s="1"/>
  <c r="N160" i="88" s="1"/>
  <c r="N144" i="98"/>
  <c r="N142" i="85"/>
  <c r="N146" i="73"/>
  <c r="N144" i="92"/>
  <c r="N147" i="92" s="1"/>
  <c r="N159" i="92" s="1"/>
  <c r="N160" i="92" s="1"/>
  <c r="N161" i="98" l="1"/>
  <c r="E57" i="48"/>
  <c r="K57" i="48" s="1"/>
  <c r="N57" i="48" s="1"/>
  <c r="N161" i="92"/>
  <c r="E37" i="48"/>
  <c r="K37" i="48" s="1"/>
  <c r="N37" i="48" s="1"/>
  <c r="E60" i="48"/>
  <c r="K60" i="48" s="1"/>
  <c r="N60" i="48" s="1"/>
  <c r="N161" i="101"/>
  <c r="N161" i="88"/>
  <c r="E33" i="48"/>
  <c r="K33" i="48" s="1"/>
  <c r="N33" i="48" s="1"/>
  <c r="N161" i="102"/>
  <c r="E61" i="48"/>
  <c r="K61" i="48" s="1"/>
  <c r="N61" i="48" s="1"/>
  <c r="N161" i="87"/>
  <c r="E32" i="48"/>
  <c r="K32" i="48" s="1"/>
  <c r="N32" i="48" s="1"/>
  <c r="N141" i="82"/>
  <c r="N142" i="82"/>
  <c r="N144" i="82" s="1"/>
  <c r="N144" i="81"/>
  <c r="N146" i="81"/>
  <c r="B57" i="113"/>
  <c r="C57" i="113" s="1"/>
  <c r="N142" i="90"/>
  <c r="N144" i="90" s="1"/>
  <c r="N146" i="103"/>
  <c r="C63" i="115"/>
  <c r="B66" i="115"/>
  <c r="N145" i="78"/>
  <c r="B71" i="114"/>
  <c r="C71" i="114" s="1"/>
  <c r="N142" i="77"/>
  <c r="N144" i="77" s="1"/>
  <c r="N142" i="96"/>
  <c r="N147" i="96" s="1"/>
  <c r="N159" i="96" s="1"/>
  <c r="N160" i="96" s="1"/>
  <c r="N145" i="96"/>
  <c r="N146" i="86"/>
  <c r="N146" i="90"/>
  <c r="N142" i="84"/>
  <c r="N144" i="84" s="1"/>
  <c r="N146" i="89"/>
  <c r="N147" i="99"/>
  <c r="N159" i="99" s="1"/>
  <c r="N160" i="99" s="1"/>
  <c r="C56" i="113"/>
  <c r="B60" i="113"/>
  <c r="N161" i="73"/>
  <c r="E4" i="48"/>
  <c r="K4" i="48" s="1"/>
  <c r="N4" i="48" s="1"/>
  <c r="N146" i="85"/>
  <c r="N144" i="85"/>
  <c r="N147" i="103"/>
  <c r="N159" i="103" s="1"/>
  <c r="N160" i="103" s="1"/>
  <c r="N161" i="105"/>
  <c r="E64" i="48"/>
  <c r="K64" i="48" s="1"/>
  <c r="N64" i="48" s="1"/>
  <c r="N142" i="94"/>
  <c r="N145" i="94" s="1"/>
  <c r="N141" i="94"/>
  <c r="N161" i="91"/>
  <c r="E36" i="48"/>
  <c r="K36" i="48" s="1"/>
  <c r="N36" i="48" s="1"/>
  <c r="N146" i="97"/>
  <c r="N147" i="97" s="1"/>
  <c r="N159" i="97" s="1"/>
  <c r="N160" i="97" s="1"/>
  <c r="N142" i="72"/>
  <c r="N143" i="72" s="1"/>
  <c r="N145" i="75"/>
  <c r="N142" i="75"/>
  <c r="N144" i="75" s="1"/>
  <c r="N146" i="78"/>
  <c r="N144" i="78"/>
  <c r="N147" i="78" s="1"/>
  <c r="N159" i="78" s="1"/>
  <c r="N160" i="78" s="1"/>
  <c r="N141" i="83"/>
  <c r="B73" i="114"/>
  <c r="C73" i="114" s="1"/>
  <c r="N144" i="96"/>
  <c r="N146" i="96"/>
  <c r="N147" i="100"/>
  <c r="N159" i="100" s="1"/>
  <c r="N160" i="100" s="1"/>
  <c r="N144" i="100"/>
  <c r="N146" i="80"/>
  <c r="N147" i="80" s="1"/>
  <c r="N159" i="80" s="1"/>
  <c r="N160" i="80" s="1"/>
  <c r="N144" i="86"/>
  <c r="N147" i="86" s="1"/>
  <c r="N159" i="86" s="1"/>
  <c r="N160" i="86" s="1"/>
  <c r="N144" i="79"/>
  <c r="N147" i="79" s="1"/>
  <c r="N159" i="79" s="1"/>
  <c r="N160" i="79" s="1"/>
  <c r="N145" i="81"/>
  <c r="N147" i="81" s="1"/>
  <c r="N159" i="81" s="1"/>
  <c r="N160" i="81" s="1"/>
  <c r="N145" i="90"/>
  <c r="N146" i="84"/>
  <c r="N145" i="84"/>
  <c r="N145" i="76"/>
  <c r="N147" i="76" s="1"/>
  <c r="N159" i="76" s="1"/>
  <c r="N160" i="76" s="1"/>
  <c r="N147" i="93"/>
  <c r="N159" i="93" s="1"/>
  <c r="N160" i="93" s="1"/>
  <c r="N144" i="89"/>
  <c r="N147" i="89" s="1"/>
  <c r="N159" i="89" s="1"/>
  <c r="N160" i="89" s="1"/>
  <c r="N142" i="74"/>
  <c r="N146" i="74" s="1"/>
  <c r="N147" i="104"/>
  <c r="N159" i="104" s="1"/>
  <c r="N160" i="104" s="1"/>
  <c r="N161" i="89" l="1"/>
  <c r="E34" i="48"/>
  <c r="K34" i="48" s="1"/>
  <c r="N34" i="48" s="1"/>
  <c r="E7" i="48"/>
  <c r="K7" i="48" s="1"/>
  <c r="N7" i="48" s="1"/>
  <c r="N161" i="76"/>
  <c r="N161" i="81"/>
  <c r="E12" i="48"/>
  <c r="K12" i="48" s="1"/>
  <c r="N12" i="48" s="1"/>
  <c r="N161" i="80"/>
  <c r="E11" i="48"/>
  <c r="K11" i="48" s="1"/>
  <c r="N11" i="48" s="1"/>
  <c r="N161" i="79"/>
  <c r="E10" i="48"/>
  <c r="K10" i="48" s="1"/>
  <c r="N10" i="48" s="1"/>
  <c r="N161" i="86"/>
  <c r="E31" i="48"/>
  <c r="K31" i="48" s="1"/>
  <c r="N31" i="48" s="1"/>
  <c r="E9" i="48"/>
  <c r="K9" i="48" s="1"/>
  <c r="N9" i="48" s="1"/>
  <c r="N161" i="78"/>
  <c r="N146" i="72"/>
  <c r="N145" i="72"/>
  <c r="E56" i="48"/>
  <c r="K56" i="48" s="1"/>
  <c r="N56" i="48" s="1"/>
  <c r="N161" i="97"/>
  <c r="N161" i="96"/>
  <c r="E55" i="48"/>
  <c r="K55" i="48" s="1"/>
  <c r="K43" i="48"/>
  <c r="C60" i="113"/>
  <c r="N43" i="48" s="1"/>
  <c r="N146" i="75"/>
  <c r="K19" i="48"/>
  <c r="C66" i="115"/>
  <c r="N19" i="48" s="1"/>
  <c r="N147" i="84"/>
  <c r="N159" i="84" s="1"/>
  <c r="N160" i="84" s="1"/>
  <c r="E38" i="48"/>
  <c r="K38" i="48" s="1"/>
  <c r="N38" i="48" s="1"/>
  <c r="N161" i="93"/>
  <c r="N146" i="77"/>
  <c r="N145" i="82"/>
  <c r="N161" i="104"/>
  <c r="E63" i="48"/>
  <c r="K63" i="48" s="1"/>
  <c r="N63" i="48" s="1"/>
  <c r="N147" i="72"/>
  <c r="N148" i="72" s="1"/>
  <c r="N160" i="72" s="1"/>
  <c r="N161" i="72" s="1"/>
  <c r="N144" i="94"/>
  <c r="N161" i="103"/>
  <c r="E62" i="48"/>
  <c r="K62" i="48" s="1"/>
  <c r="N62" i="48" s="1"/>
  <c r="N161" i="99"/>
  <c r="E58" i="48"/>
  <c r="K58" i="48" s="1"/>
  <c r="N58" i="48" s="1"/>
  <c r="N145" i="77"/>
  <c r="N147" i="75"/>
  <c r="N159" i="75" s="1"/>
  <c r="N160" i="75" s="1"/>
  <c r="B74" i="114"/>
  <c r="N146" i="82"/>
  <c r="N147" i="82" s="1"/>
  <c r="N159" i="82" s="1"/>
  <c r="N160" i="82" s="1"/>
  <c r="N144" i="74"/>
  <c r="N147" i="74" s="1"/>
  <c r="N159" i="74" s="1"/>
  <c r="N160" i="74" s="1"/>
  <c r="N145" i="74"/>
  <c r="N161" i="100"/>
  <c r="E59" i="48"/>
  <c r="K59" i="48" s="1"/>
  <c r="N59" i="48" s="1"/>
  <c r="N142" i="83"/>
  <c r="N146" i="94"/>
  <c r="N147" i="94" s="1"/>
  <c r="N159" i="94" s="1"/>
  <c r="N160" i="94" s="1"/>
  <c r="N147" i="85"/>
  <c r="N159" i="85" s="1"/>
  <c r="N160" i="85" s="1"/>
  <c r="N147" i="90"/>
  <c r="N159" i="90" s="1"/>
  <c r="N160" i="90" s="1"/>
  <c r="N147" i="77"/>
  <c r="N159" i="77" s="1"/>
  <c r="N160" i="77" s="1"/>
  <c r="N161" i="94" l="1"/>
  <c r="E39" i="48"/>
  <c r="K39" i="48" s="1"/>
  <c r="N39" i="48" s="1"/>
  <c r="N161" i="74"/>
  <c r="E5" i="48"/>
  <c r="K5" i="48" s="1"/>
  <c r="N5" i="48" s="1"/>
  <c r="N161" i="82"/>
  <c r="E13" i="48"/>
  <c r="K13" i="48" s="1"/>
  <c r="N13" i="48" s="1"/>
  <c r="N162" i="72"/>
  <c r="E3" i="48"/>
  <c r="K3" i="48" s="1"/>
  <c r="N161" i="85"/>
  <c r="E30" i="48"/>
  <c r="K30" i="48" s="1"/>
  <c r="N145" i="83"/>
  <c r="N146" i="83"/>
  <c r="K65" i="48"/>
  <c r="N55" i="48"/>
  <c r="N65" i="48" s="1"/>
  <c r="N74" i="48" s="1"/>
  <c r="K68" i="48"/>
  <c r="C74" i="114"/>
  <c r="N68" i="48" s="1"/>
  <c r="N144" i="83"/>
  <c r="N147" i="83" s="1"/>
  <c r="N159" i="83" s="1"/>
  <c r="N160" i="83" s="1"/>
  <c r="E15" i="48"/>
  <c r="K15" i="48" s="1"/>
  <c r="N15" i="48" s="1"/>
  <c r="N161" i="84"/>
  <c r="N161" i="77"/>
  <c r="E8" i="48"/>
  <c r="K8" i="48" s="1"/>
  <c r="N8" i="48" s="1"/>
  <c r="N161" i="75"/>
  <c r="E6" i="48"/>
  <c r="K6" i="48" s="1"/>
  <c r="N6" i="48" s="1"/>
  <c r="N161" i="90"/>
  <c r="E35" i="48"/>
  <c r="K35" i="48" s="1"/>
  <c r="N35" i="48" s="1"/>
  <c r="N161" i="83" l="1"/>
  <c r="E14" i="48"/>
  <c r="K14" i="48" s="1"/>
  <c r="N14" i="48" s="1"/>
  <c r="K40" i="48"/>
  <c r="N48" i="48" s="1"/>
  <c r="N30" i="48"/>
  <c r="N40" i="48" s="1"/>
  <c r="N49" i="48" s="1"/>
  <c r="N73" i="48"/>
  <c r="N3" i="48"/>
  <c r="N16" i="48" s="1"/>
  <c r="N25" i="48" s="1"/>
  <c r="K16" i="48"/>
  <c r="N24" i="48" s="1"/>
</calcChain>
</file>

<file path=xl/comments1.xml><?xml version="1.0" encoding="utf-8"?>
<comments xmlns="http://schemas.openxmlformats.org/spreadsheetml/2006/main">
  <authors>
    <author>Kaio</author>
    <author>ufes</author>
  </authors>
  <commentList>
    <comment ref="E3" authorId="0" shapeId="0">
      <text>
        <r>
          <rPr>
            <b/>
            <sz val="9"/>
            <rFont val="Tahoma"/>
            <family val="2"/>
          </rPr>
          <t>UFES:</t>
        </r>
        <r>
          <rPr>
            <sz val="9"/>
            <rFont val="Tahoma"/>
            <family val="2"/>
          </rPr>
          <t xml:space="preserve">
Não há transporte municipal em Jerônimo Monteiro. O valor se refere à tarifa de transporte cobrada em Alegre.</t>
        </r>
      </text>
    </comment>
    <comment ref="C9" authorId="0" shapeId="0">
      <text>
        <r>
          <rPr>
            <b/>
            <sz val="9"/>
            <rFont val="Tahoma"/>
            <family val="2"/>
          </rPr>
          <t>UFES:</t>
        </r>
        <r>
          <rPr>
            <sz val="9"/>
            <rFont val="Tahoma"/>
            <family val="2"/>
          </rPr>
          <t xml:space="preserve">
Valor estabelecido na CCT 2022, Cláusula Terceira, </t>
        </r>
        <r>
          <rPr>
            <sz val="9"/>
            <rFont val="Calibri"/>
            <family val="2"/>
          </rPr>
          <t>§</t>
        </r>
        <r>
          <rPr>
            <sz val="9"/>
            <rFont val="Tahoma"/>
            <family val="2"/>
          </rPr>
          <t xml:space="preserve"> 6º e 7º, diminuído do desconto previsto no § 9º da mesma claúsula.</t>
        </r>
      </text>
    </comment>
    <comment ref="F9" authorId="0" shapeId="0">
      <text>
        <r>
          <rPr>
            <b/>
            <sz val="9"/>
            <rFont val="Tahoma"/>
            <family val="2"/>
          </rPr>
          <t>UFES:</t>
        </r>
        <r>
          <rPr>
            <sz val="9"/>
            <rFont val="Tahoma"/>
            <family val="2"/>
          </rPr>
          <t xml:space="preserve">
Conforme Cláusula Quadragédima Quinta
 da CCT 2022.</t>
        </r>
      </text>
    </comment>
    <comment ref="C10" authorId="0" shapeId="0">
      <text>
        <r>
          <rPr>
            <b/>
            <sz val="9"/>
            <rFont val="Tahoma"/>
            <family val="2"/>
          </rPr>
          <t>UFES:</t>
        </r>
        <r>
          <rPr>
            <sz val="9"/>
            <rFont val="Tahoma"/>
            <family val="2"/>
          </rPr>
          <t xml:space="preserve">
Valor estabelecido na CCT 2022, Cláusula Terceira, § 8º, dividido pelo número de meses para a execução contratual.</t>
        </r>
      </text>
    </comment>
    <comment ref="F10" authorId="0" shapeId="0">
      <text>
        <r>
          <rPr>
            <b/>
            <sz val="9"/>
            <rFont val="Tahoma"/>
            <family val="2"/>
          </rPr>
          <t>UFES:</t>
        </r>
        <r>
          <rPr>
            <sz val="9"/>
            <rFont val="Tahoma"/>
            <family val="2"/>
          </rPr>
          <t xml:space="preserve">
Valor da pesquisa de mercado, diminuído do desconto de R$ 35,00, previsto na Cláusula Vigésima da CCT.</t>
        </r>
      </text>
    </comment>
    <comment ref="F11" authorId="0" shapeId="0">
      <text>
        <r>
          <rPr>
            <b/>
            <sz val="9"/>
            <rFont val="Tahoma"/>
            <family val="2"/>
          </rPr>
          <t>UFES:</t>
        </r>
        <r>
          <rPr>
            <sz val="9"/>
            <rFont val="Tahoma"/>
            <family val="2"/>
          </rPr>
          <t xml:space="preserve">
Valor da pesquisa de mercado, diminuído do desconto de R$ 35,00, previsto na Cláusula Vigésima da CCT.</t>
        </r>
      </text>
    </comment>
    <comment ref="C15" authorId="0" shapeId="0">
      <text>
        <r>
          <rPr>
            <b/>
            <sz val="9"/>
            <rFont val="Tahoma"/>
            <family val="2"/>
          </rPr>
          <t>UFES:</t>
        </r>
        <r>
          <rPr>
            <sz val="9"/>
            <rFont val="Tahoma"/>
            <family val="2"/>
          </rPr>
          <t xml:space="preserve">
Valor estabelecido na Ata de Reunião de Negociação entre SECOTUH e SINDIBARES, diminuído do desconto previsto na mesma.</t>
        </r>
      </text>
    </comment>
    <comment ref="F15" authorId="0" shapeId="0">
      <text>
        <r>
          <rPr>
            <b/>
            <sz val="9"/>
            <rFont val="Tahoma"/>
            <family val="2"/>
          </rPr>
          <t>UFES:</t>
        </r>
        <r>
          <rPr>
            <sz val="9"/>
            <rFont val="Tahoma"/>
            <family val="2"/>
          </rPr>
          <t xml:space="preserve">
Valor estabelecido na Ata de Reunião de Negociação entre SECOTUH e SINDIBARES.</t>
        </r>
      </text>
    </comment>
    <comment ref="C16" authorId="0" shapeId="0">
      <text>
        <r>
          <rPr>
            <b/>
            <sz val="9"/>
            <rFont val="Tahoma"/>
            <family val="2"/>
          </rPr>
          <t>UFES:</t>
        </r>
        <r>
          <rPr>
            <sz val="9"/>
            <rFont val="Tahoma"/>
            <family val="2"/>
          </rPr>
          <t xml:space="preserve">
Valor estabelecido na Ata de Reunião de Negociação entre SECOTUH e SINDIBARES, dividido pelo número de meses para a execução contratual.</t>
        </r>
      </text>
    </comment>
    <comment ref="F16" authorId="0" shapeId="0">
      <text>
        <r>
          <rPr>
            <b/>
            <sz val="9"/>
            <rFont val="Tahoma"/>
            <family val="2"/>
          </rPr>
          <t>UFES:</t>
        </r>
        <r>
          <rPr>
            <sz val="9"/>
            <rFont val="Tahoma"/>
            <family val="2"/>
          </rPr>
          <t xml:space="preserve">
Valor da pesquisa de mercado, diminuído do desconto máximo (R$ 35,20) previsto na Ata de Reunião de Negociação entre SECOTUH e SINDIBARES.</t>
        </r>
      </text>
    </comment>
    <comment ref="I22" authorId="0" shapeId="0">
      <text>
        <r>
          <rPr>
            <b/>
            <sz val="9"/>
            <rFont val="Tahoma"/>
            <family val="2"/>
          </rPr>
          <t xml:space="preserve">UFES:
</t>
        </r>
        <r>
          <rPr>
            <sz val="9"/>
            <rFont val="Tahoma"/>
            <family val="2"/>
          </rPr>
          <t xml:space="preserve">Conforme Relatório Técnico emitido pela Junta Pericial do Trabalho da UFES. </t>
        </r>
      </text>
    </comment>
    <comment ref="J22" authorId="0" shapeId="0">
      <text>
        <r>
          <rPr>
            <b/>
            <sz val="9"/>
            <rFont val="Tahoma"/>
            <family val="2"/>
          </rPr>
          <t xml:space="preserve">UFES:
</t>
        </r>
        <r>
          <rPr>
            <sz val="9"/>
            <rFont val="Tahoma"/>
            <family val="2"/>
          </rPr>
          <t xml:space="preserve">Conforme Relatório Técnico emitido pela Junta Pericial do Trabalho (JPT) da UFES. </t>
        </r>
      </text>
    </comment>
    <comment ref="K22" authorId="0" shapeId="0">
      <text>
        <r>
          <rPr>
            <b/>
            <sz val="9"/>
            <rFont val="Tahoma"/>
            <family val="2"/>
          </rPr>
          <t>UFES:</t>
        </r>
        <r>
          <rPr>
            <sz val="9"/>
            <rFont val="Tahoma"/>
            <family val="2"/>
          </rPr>
          <t xml:space="preserve">
Cálculo dos valores para transporte, considerando o número médio de dias de prestação de serviços/mês, bem como o desconto máximo (3% sobre o salário base), por empregado, previsto na cláusula Décima Vigésima das convenções SINTRAHOTEIS E SECOTUH 2022.</t>
        </r>
      </text>
    </comment>
    <comment ref="P22" authorId="0" shapeId="0">
      <text>
        <r>
          <rPr>
            <b/>
            <sz val="9"/>
            <rFont val="Tahoma"/>
            <family val="2"/>
          </rPr>
          <t>UFES:</t>
        </r>
        <r>
          <rPr>
            <sz val="9"/>
            <rFont val="Tahoma"/>
            <family val="2"/>
          </rPr>
          <t xml:space="preserve">
Ver planilha abas Depreciação Mensal</t>
        </r>
      </text>
    </comment>
    <comment ref="S22" authorId="0" shapeId="0">
      <text>
        <r>
          <rPr>
            <b/>
            <sz val="9"/>
            <rFont val="Tahoma"/>
            <family val="2"/>
          </rPr>
          <t>UFES:</t>
        </r>
        <r>
          <rPr>
            <sz val="9"/>
            <rFont val="Tahoma"/>
            <family val="2"/>
          </rPr>
          <t xml:space="preserve">
Preço da refeição servida pelos Restaurantes Universitários da UFES, cobrado do usuário categoria Usuário Especial (conforme Resolução nº 27/2016 CUn UFES), multiplicado pelo número médio de dias de prestação de serviços/mês. Do resultado, foi subtraído o valor máximo que a contratada pode descontar do empregado (2% do salário base), conforme previsão nas CCT´s.</t>
        </r>
      </text>
    </comment>
    <comment ref="C70" authorId="0" shapeId="0">
      <text>
        <r>
          <rPr>
            <b/>
            <sz val="9"/>
            <rFont val="Tahoma"/>
            <family val="2"/>
          </rPr>
          <t>UFES:</t>
        </r>
        <r>
          <rPr>
            <sz val="9"/>
            <rFont val="Tahoma"/>
            <family val="2"/>
          </rPr>
          <t xml:space="preserve">
Alíquota média, com base naquelas praticadas legalmente nos municípios de Alegre (3%) e Jerônimo Monteiro (4%), locais da prestação dos serviços.</t>
        </r>
      </text>
    </comment>
    <comment ref="C82" authorId="1" shapeId="0">
      <text>
        <r>
          <rPr>
            <b/>
            <sz val="9"/>
            <rFont val="Segoe UI"/>
            <family val="2"/>
          </rPr>
          <t xml:space="preserve">Ufes: </t>
        </r>
        <r>
          <rPr>
            <sz val="9"/>
            <rFont val="Segoe UI"/>
            <family val="2"/>
          </rPr>
          <t>Conforme Decreto 6.957/2003. Estimativa para contratação inicial: RAT x FAP = 3% x 1.</t>
        </r>
      </text>
    </comment>
  </commentList>
</comments>
</file>

<file path=xl/sharedStrings.xml><?xml version="1.0" encoding="utf-8"?>
<sst xmlns="http://schemas.openxmlformats.org/spreadsheetml/2006/main" count="8944" uniqueCount="714">
  <si>
    <t>POSTO</t>
  </si>
  <si>
    <t>Total de Postos: Goiabeiras e Maruípe</t>
  </si>
  <si>
    <t>Total de Postos: Alegre e Jerônimo Monteiro</t>
  </si>
  <si>
    <t>Total de Postos: São Mateus</t>
  </si>
  <si>
    <t>Armazenista</t>
  </si>
  <si>
    <t>Atendente de Refeitório</t>
  </si>
  <si>
    <t>Auxiliar de Cozinha I</t>
  </si>
  <si>
    <t>Auxiliar de Cozinha II</t>
  </si>
  <si>
    <t>Auxiliar de Cozinha III</t>
  </si>
  <si>
    <t>Auxiliar de Serviços Gerais I</t>
  </si>
  <si>
    <t>Auxiliar de Serviços Gerais II</t>
  </si>
  <si>
    <t>Auxiliar de Manutenção</t>
  </si>
  <si>
    <t>-</t>
  </si>
  <si>
    <t>Encarregado de Manutenção</t>
  </si>
  <si>
    <t>Encarregado de Serviços Gerais</t>
  </si>
  <si>
    <t>Cozinheiro</t>
  </si>
  <si>
    <t>Supervisor de Cozinha</t>
  </si>
  <si>
    <t>Oficial de Manutenção</t>
  </si>
  <si>
    <t>Operador de Câmara Frigorífica</t>
  </si>
  <si>
    <t>TOTAL</t>
  </si>
  <si>
    <t>ANEXO III  - PORTARIA 7, DE 09 DE MARÇO DE 2011</t>
  </si>
  <si>
    <t>PLANILHA DE CUSTOS E FORMAÇÃO DE PREÇOS - GLOBAL</t>
  </si>
  <si>
    <r>
      <t>N</t>
    </r>
    <r>
      <rPr>
        <strike/>
        <sz val="10"/>
        <rFont val="Verdana"/>
        <family val="2"/>
      </rPr>
      <t>º</t>
    </r>
    <r>
      <rPr>
        <sz val="10"/>
        <rFont val="Verdana"/>
        <family val="2"/>
      </rPr>
      <t xml:space="preserve"> Processo</t>
    </r>
  </si>
  <si>
    <r>
      <t>Licitação N</t>
    </r>
    <r>
      <rPr>
        <strike/>
        <sz val="10"/>
        <rFont val="Verdana"/>
        <family val="2"/>
      </rPr>
      <t>º</t>
    </r>
  </si>
  <si>
    <t>Discriminação dos Serviços (dados referentes à contratação)</t>
  </si>
  <si>
    <t>A</t>
  </si>
  <si>
    <t>Data de apresentação da proposta (dia/mês/ano)</t>
  </si>
  <si>
    <t>B</t>
  </si>
  <si>
    <t>Município/UF</t>
  </si>
  <si>
    <t>conf. planilhas anexas</t>
  </si>
  <si>
    <t>C</t>
  </si>
  <si>
    <t>Ano Acordo, Convenção ou Sentença Normativa em Dissídio Coletivo</t>
  </si>
  <si>
    <t>D</t>
  </si>
  <si>
    <r>
      <t>N</t>
    </r>
    <r>
      <rPr>
        <strike/>
        <sz val="10"/>
        <rFont val="Verdana"/>
        <family val="2"/>
      </rPr>
      <t>º</t>
    </r>
    <r>
      <rPr>
        <sz val="10"/>
        <rFont val="Verdana"/>
        <family val="2"/>
      </rPr>
      <t xml:space="preserve"> de meses de execução contratual</t>
    </r>
  </si>
  <si>
    <t>Identificação do Serviço</t>
  </si>
  <si>
    <t>Tipo de Serviço</t>
  </si>
  <si>
    <t>Unidade de Medida</t>
  </si>
  <si>
    <t> Quantidade total a contratar (em função da unidade de medida)</t>
  </si>
  <si>
    <t>Nota (1) - Esta tabela poderá ser adaptada às características do serviço contratado, inclusive adaptar rubricas e suas respectivas provisões e ou estimativas, desde que devidamente justificado.</t>
  </si>
  <si>
    <t>Nota (2)- As provisões constantes desta planilha poderão não ser necessárias em determinados serviços que não necessitem da dedicação exclusiva dos trabalhadores da contratada para com a Administração.</t>
  </si>
  <si>
    <t>Anexo III-A – Mão-de-obra</t>
  </si>
  <si>
    <t>Mão-de-obra vinculada à execução contratual</t>
  </si>
  <si>
    <t>Dados complementares para composição dos custos referente à mão-de-obra</t>
  </si>
  <si>
    <t>Tipo de serviço (mesmo serviço com características distintas)</t>
  </si>
  <si>
    <t>Serviços Administrativos</t>
  </si>
  <si>
    <t>Salário Normativo da Categoria Profissional</t>
  </si>
  <si>
    <t>Categoria profissional (vinculada à execução contratual)</t>
  </si>
  <si>
    <t>Data base da categoria (dia/mês/ano)</t>
  </si>
  <si>
    <t>Nota: Deverá ser elaborado um quadro para cada tipo de serviço.</t>
  </si>
  <si>
    <t>MÓDULO 1 : COMPOSIÇÃO DA REMUNERAÇÃO</t>
  </si>
  <si>
    <t>Composição da Remuneração</t>
  </si>
  <si>
    <t>Valor (R$)</t>
  </si>
  <si>
    <t>Salário Base</t>
  </si>
  <si>
    <t>Adicional de periculosidade</t>
  </si>
  <si>
    <t>Adicional de insalubridade</t>
  </si>
  <si>
    <t>Adicional noturno</t>
  </si>
  <si>
    <t>E</t>
  </si>
  <si>
    <t>Hora noturna adicional</t>
  </si>
  <si>
    <t>F</t>
  </si>
  <si>
    <t>Adicional de Hora Extra</t>
  </si>
  <si>
    <t>G</t>
  </si>
  <si>
    <t>Intervalo Intrajornada</t>
  </si>
  <si>
    <t>H</t>
  </si>
  <si>
    <t>Outros (especificar)</t>
  </si>
  <si>
    <t>Total da Remuneração</t>
  </si>
  <si>
    <t>MÓDULO 2: BENEFÍCIOS MENSAIS E DIÁRIOS</t>
  </si>
  <si>
    <t>Benefícios Mensais e Diários</t>
  </si>
  <si>
    <t>Transporte</t>
  </si>
  <si>
    <t>Auxílio alimentação (Vales, cesta básica etc.)</t>
  </si>
  <si>
    <t xml:space="preserve">Assistência médica </t>
  </si>
  <si>
    <t>Assistência Odontológica</t>
  </si>
  <si>
    <t>Auxílio creche</t>
  </si>
  <si>
    <t>Seguro de vida, invalidez e funeral</t>
  </si>
  <si>
    <t>Contribuição Sindical</t>
  </si>
  <si>
    <t>Total de Benefícios mensais e diários</t>
  </si>
  <si>
    <t>Nota: o valor informado deverá ser o custo real do insumo (descontado o valor eventualmente pago pelo empregado).</t>
  </si>
  <si>
    <t>MÓDULO 3: INSUMOS DIVERSOS</t>
  </si>
  <si>
    <t>Insumos Diversos</t>
  </si>
  <si>
    <t>Uniformes</t>
  </si>
  <si>
    <t>Materiais</t>
  </si>
  <si>
    <t>Equipamentos</t>
  </si>
  <si>
    <t>Total de Insumos diversos</t>
  </si>
  <si>
    <t>Nota: Valores mensais por empregado.</t>
  </si>
  <si>
    <t>MÓDULO 4: ENCARGOS SOCIAIS E TRABALHISTAS</t>
  </si>
  <si>
    <t>Submódulo 4.1 – Encargos previdenciários e FGTS:</t>
  </si>
  <si>
    <t>4.1</t>
  </si>
  <si>
    <t>Encargos previdenciários e FGTS</t>
  </si>
  <si>
    <t>%</t>
  </si>
  <si>
    <t>INSS</t>
  </si>
  <si>
    <t>SESI ou SESC</t>
  </si>
  <si>
    <t>SENAI ou SENAC</t>
  </si>
  <si>
    <t>INCRA</t>
  </si>
  <si>
    <t>Salário Educação</t>
  </si>
  <si>
    <t>FGTS</t>
  </si>
  <si>
    <t>Seguro acidente do trabalho</t>
  </si>
  <si>
    <t>SEBRAE</t>
  </si>
  <si>
    <t>Nota (1) - Os percentuais dos encargos previdenciários e FGTS são aqueles estabelecidos pela legislação vigente.</t>
  </si>
  <si>
    <t>Nota (2) - Percentuais incidentes sobre a remuneração.</t>
  </si>
  <si>
    <t>Submódulo 4.2 – 13º Salário e Adicional de Férias</t>
  </si>
  <si>
    <t>4.2</t>
  </si>
  <si>
    <t>13º Salário e Adicional de Férias</t>
  </si>
  <si>
    <t>13 º Salário</t>
  </si>
  <si>
    <t>Adicional de Férias</t>
  </si>
  <si>
    <t>Subtotal</t>
  </si>
  <si>
    <t>Incidência do Submódulo 4.1 sobre 13º Salário e Adicional de Férias</t>
  </si>
  <si>
    <t>Submódulo 4.3 - Afastamento Maternidade</t>
  </si>
  <si>
    <t>4.3</t>
  </si>
  <si>
    <t>Afastamento Maternidade:</t>
  </si>
  <si>
    <t>Afastamento maternidade</t>
  </si>
  <si>
    <t>Incidência do submódulo 4.1 sobre afastamento maternidade</t>
  </si>
  <si>
    <r>
      <t> </t>
    </r>
    <r>
      <rPr>
        <b/>
        <sz val="12"/>
        <rFont val="Verdana"/>
        <family val="2"/>
      </rPr>
      <t>Submódulo 4.4 - Provisão para Rescisão</t>
    </r>
  </si>
  <si>
    <t>4.4</t>
  </si>
  <si>
    <t>Provisão para Rescisão</t>
  </si>
  <si>
    <t>Aviso prévio indenizado</t>
  </si>
  <si>
    <t>Incidência do submódulo 4.1 sobre aviso prévio indenizado</t>
  </si>
  <si>
    <t>Multa do FGTS do aviso prévio indenizado</t>
  </si>
  <si>
    <t>Aviso prévio trabalhado</t>
  </si>
  <si>
    <t>Incidência do submódulo 4.1 sobre aviso prévio trabalhado</t>
  </si>
  <si>
    <t>Multa do FGTS do aviso prévio trabalhado</t>
  </si>
  <si>
    <t>Submódulo 4.5 – Custo de Reposição do Profissional Ausente</t>
  </si>
  <si>
    <t>4.5</t>
  </si>
  <si>
    <t>Composição do Custo de Reposição do Profissional Ausente</t>
  </si>
  <si>
    <t>Férias</t>
  </si>
  <si>
    <t>Ausência por doença</t>
  </si>
  <si>
    <t>Licença paternidade</t>
  </si>
  <si>
    <t>Ausências legais</t>
  </si>
  <si>
    <t>Ausência por Acidente de trabalho</t>
  </si>
  <si>
    <t>Incidência do submódulo 4.1 sobre o Custo de reposição</t>
  </si>
  <si>
    <r>
      <t> </t>
    </r>
    <r>
      <rPr>
        <b/>
        <sz val="12"/>
        <rFont val="Verdana"/>
        <family val="2"/>
      </rPr>
      <t>Quadro - resumo – Módulo 4 - Encargos sociais e trabalhistas</t>
    </r>
  </si>
  <si>
    <t>Módulo 4 - Encargos sociais e trabalhistas</t>
  </si>
  <si>
    <t>13 º salário + Adicional de férias</t>
  </si>
  <si>
    <t>Custo de rescisão</t>
  </si>
  <si>
    <t>Custo de reposição do profissional ausente</t>
  </si>
  <si>
    <t>4.6</t>
  </si>
  <si>
    <t xml:space="preserve">TOTAL </t>
  </si>
  <si>
    <t>MÓDULO 5 - CUSTOS INDIRETOS, TRIBUTOS E LUCRO</t>
  </si>
  <si>
    <r>
      <t> </t>
    </r>
    <r>
      <rPr>
        <b/>
        <sz val="10"/>
        <rFont val="Verdana"/>
        <family val="2"/>
      </rPr>
      <t>5</t>
    </r>
  </si>
  <si>
    <t>Custos Indiretos, Tributos e Lucro</t>
  </si>
  <si>
    <t>Custos Indiretos</t>
  </si>
  <si>
    <t>Tributos</t>
  </si>
  <si>
    <t>B1. Tributos Federais (PIS)</t>
  </si>
  <si>
    <t>B1. Tributos Federais (COFINS)</t>
  </si>
  <si>
    <t>B.2 Tributos Estaduais (especificar)</t>
  </si>
  <si>
    <t>B.3 Tributos Municipais (ISSQN)</t>
  </si>
  <si>
    <t>B.4 Outros tributos (especificar)</t>
  </si>
  <si>
    <t>Lucro</t>
  </si>
  <si>
    <t>Total</t>
  </si>
  <si>
    <t>Nota (1): Custos Indiretos, Tributos e Lucro por empregado.</t>
  </si>
  <si>
    <t>Nota (2): O valor referente a tributos é obtido aplicando-se o percentual sobre o valor do faturamento.</t>
  </si>
  <si>
    <t>Anexo III – B - Quadro-resumo do Custo por Empregado</t>
  </si>
  <si>
    <t>Mão-de-obra vinculada à execução contratual (valor por empregado)</t>
  </si>
  <si>
    <t>(R$)</t>
  </si>
  <si>
    <t>Módulo 1 – Composição da Remuneração</t>
  </si>
  <si>
    <t>Módulo 2 – Benefícios Mensais e Diários</t>
  </si>
  <si>
    <t>Módulo 3 – Insumos Diversos (uniformes, materiais, equipamentos e outros)</t>
  </si>
  <si>
    <t>Módulo 4 – Encargos Sociais e Trabalhistas</t>
  </si>
  <si>
    <t>Subtotal (A + B +C+ D)</t>
  </si>
  <si>
    <t>Módulo 5 – Custos indiretos, tributos e lucro</t>
  </si>
  <si>
    <t>Valor total por empregado</t>
  </si>
  <si>
    <t>ANEXO III-E – Complemento dos Serviços de Vigilância</t>
  </si>
  <si>
    <t>VALOR MENSAL DOS SERVIÇOS</t>
  </si>
  <si>
    <t>ESCALA DE TRABALHO</t>
  </si>
  <si>
    <t>PREÇO MENSAL DO POSTO</t>
  </si>
  <si>
    <t>Nº DE POSTOS</t>
  </si>
  <si>
    <t>SUBTOTAL</t>
  </si>
  <si>
    <t>I.</t>
  </si>
  <si>
    <t>44 (quarenta e quatro) horas semanais diurnas, de segunda a sexta - feira envolvendo 1 (um) vigilante.</t>
  </si>
  <si>
    <t>II.</t>
  </si>
  <si>
    <t>12 horas diurnas, de segunda - feira a domingo, envolvendo 2 (dois) vigilantes em turnos de 12 (doze) x 36 (trinta e seis) horas.</t>
  </si>
  <si>
    <t>III.</t>
  </si>
  <si>
    <t>12 horas noturnas, de segunda - feira a domingo, envolvendo 2 (dois) vigilantes em turnos de 12 (doze) x 36 (trinta e seis) horas.</t>
  </si>
  <si>
    <t>IV.</t>
  </si>
  <si>
    <t>12 horas diurnas, de segunda a sexta - feira, envolvendo 2 (dois) vigilantes em turnos de 12 (doze) x 36 (trinta e seis) horas .</t>
  </si>
  <si>
    <t>V.</t>
  </si>
  <si>
    <t>12 horas noturnas, de segunda a sexta - feira, envolvendo 2 (dois) vigilantes em turnos de 12 (doze) x 36 (trinta e seis) horas .</t>
  </si>
  <si>
    <t>Outras - (especificar)</t>
  </si>
  <si>
    <t> Nota: Nos casos de incluir outros tipos de postos observar o disposto no § 2º do art. 50 da Instrução Normativa n° 02 de 30 de abril de 2008.</t>
  </si>
  <si>
    <t>ANEXO III-F – Complemento dos serviços de limpeza e conservação</t>
  </si>
  <si>
    <r>
      <t> </t>
    </r>
    <r>
      <rPr>
        <b/>
        <sz val="12"/>
        <rFont val="Verdana"/>
        <family val="2"/>
      </rPr>
      <t>I - PREÇO MENSAL UNITÁRIO POR M²</t>
    </r>
  </si>
  <si>
    <r>
      <t>ÁREA INTERNA</t>
    </r>
    <r>
      <rPr>
        <sz val="8"/>
        <rFont val="Verdana"/>
        <family val="2"/>
      </rPr>
      <t xml:space="preserve"> – (Fórmulas exemplificativas de cálculo para área interna, alíneas “a” e “b” do artigo 44, para as demais alíneas deverão ser incluídos novos campos na planilha com a metragem adequada.)</t>
    </r>
  </si>
  <si>
    <t>(1x2)</t>
  </si>
  <si>
    <t>MÃO DE OBRA</t>
  </si>
  <si>
    <t>PRODUTIVIDADE</t>
  </si>
  <si>
    <t>PREÇO HOMEM-MÊS</t>
  </si>
  <si>
    <t>(1/M²)</t>
  </si>
  <si>
    <t>(R$/M²)</t>
  </si>
  <si>
    <t>ENCARREGADO</t>
  </si>
  <si>
    <r>
      <t>_____</t>
    </r>
    <r>
      <rPr>
        <u/>
        <sz val="10"/>
        <rFont val="Verdana"/>
        <family val="2"/>
      </rPr>
      <t>1</t>
    </r>
    <r>
      <rPr>
        <sz val="10"/>
        <rFont val="Verdana"/>
        <family val="2"/>
      </rPr>
      <t>______</t>
    </r>
  </si>
  <si>
    <t>(30** x 600*)</t>
  </si>
  <si>
    <t>SERVENTE</t>
  </si>
  <si>
    <r>
      <t>__</t>
    </r>
    <r>
      <rPr>
        <u/>
        <sz val="10"/>
        <rFont val="Verdana"/>
        <family val="2"/>
      </rPr>
      <t>1</t>
    </r>
    <r>
      <rPr>
        <sz val="10"/>
        <rFont val="Verdana"/>
        <family val="2"/>
      </rPr>
      <t>__</t>
    </r>
  </si>
  <si>
    <t>600*</t>
  </si>
  <si>
    <r>
      <t>ÁREA EXTERNA</t>
    </r>
    <r>
      <rPr>
        <sz val="8"/>
        <rFont val="Verdana"/>
        <family val="2"/>
      </rPr>
      <t xml:space="preserve"> - (Fórmulas exemplificativas de cálculo para área externa, alíneas “a”, “c”, “d” e “e” do artigo 44, para as demais alíneas deverão ser incluídos novos campos na planilha com a metragem adequada.)</t>
    </r>
  </si>
  <si>
    <r>
      <t>______</t>
    </r>
    <r>
      <rPr>
        <u/>
        <sz val="10"/>
        <rFont val="Verdana"/>
        <family val="2"/>
      </rPr>
      <t>1</t>
    </r>
    <r>
      <rPr>
        <sz val="10"/>
        <rFont val="Verdana"/>
        <family val="2"/>
      </rPr>
      <t>_______</t>
    </r>
  </si>
  <si>
    <t>(30** x 1200*)</t>
  </si>
  <si>
    <t>1200*</t>
  </si>
  <si>
    <r>
      <t>ESQUADRIA EXTERNA</t>
    </r>
    <r>
      <rPr>
        <sz val="8"/>
        <rFont val="Verdana"/>
        <family val="2"/>
      </rPr>
      <t xml:space="preserve"> (Fórmulas exemplificativas de cálculo para área externa, alíneas “b” e “c” do artigo 44, para as demais alíneas deverão ser incluídos novos campos na planilha com a metragem adequada.)</t>
    </r>
  </si>
  <si>
    <t>(4x5)</t>
  </si>
  <si>
    <t>PRODUTI-</t>
  </si>
  <si>
    <t>FREQÜÊNCIA NO MÊS (HORAS)</t>
  </si>
  <si>
    <t>JORNADA DE TRABALHO NO MÊS (HORAS)</t>
  </si>
  <si>
    <t>=(1x2x3)</t>
  </si>
  <si>
    <t xml:space="preserve">PREÇO HOMEM-MÊS </t>
  </si>
  <si>
    <t>SUB-</t>
  </si>
  <si>
    <t>VIDADE</t>
  </si>
  <si>
    <t>Ki****</t>
  </si>
  <si>
    <r>
      <t>___</t>
    </r>
    <r>
      <rPr>
        <u/>
        <sz val="11"/>
        <rFont val="Verdana"/>
        <family val="2"/>
      </rPr>
      <t>1</t>
    </r>
    <r>
      <rPr>
        <sz val="11"/>
        <rFont val="Verdana"/>
        <family val="2"/>
      </rPr>
      <t>__</t>
    </r>
  </si>
  <si>
    <t>16***</t>
  </si>
  <si>
    <r>
      <t>__</t>
    </r>
    <r>
      <rPr>
        <u/>
        <sz val="11"/>
        <rFont val="Verdana"/>
        <family val="2"/>
      </rPr>
      <t>1</t>
    </r>
    <r>
      <rPr>
        <sz val="11"/>
        <rFont val="Verdana"/>
        <family val="2"/>
      </rPr>
      <t>__</t>
    </r>
  </si>
  <si>
    <t>30** x 220*</t>
  </si>
  <si>
    <r>
      <t>_</t>
    </r>
    <r>
      <rPr>
        <u/>
        <sz val="11"/>
        <rFont val="Verdana"/>
        <family val="2"/>
      </rPr>
      <t>1</t>
    </r>
    <r>
      <rPr>
        <sz val="11"/>
        <rFont val="Verdana"/>
        <family val="2"/>
      </rPr>
      <t>__</t>
    </r>
  </si>
  <si>
    <t>220*</t>
  </si>
  <si>
    <r>
      <t> </t>
    </r>
    <r>
      <rPr>
        <b/>
        <sz val="12"/>
        <rFont val="Verdana"/>
        <family val="2"/>
      </rPr>
      <t>FACHADA ENVIDRAÇADA - FACE EXTERNA</t>
    </r>
  </si>
  <si>
    <t>FREQÜÊNCIA NO</t>
  </si>
  <si>
    <t>JORNADA DE TRABALHO NO SEMESTRE (HORAS)</t>
  </si>
  <si>
    <t>SEMESTRE (HORAS)</t>
  </si>
  <si>
    <t>Ke****</t>
  </si>
  <si>
    <r>
      <t>____</t>
    </r>
    <r>
      <rPr>
        <u/>
        <sz val="11"/>
        <rFont val="Verdana"/>
        <family val="2"/>
      </rPr>
      <t>1</t>
    </r>
    <r>
      <rPr>
        <sz val="11"/>
        <rFont val="Verdana"/>
        <family val="2"/>
      </rPr>
      <t xml:space="preserve">___ </t>
    </r>
  </si>
  <si>
    <t>8***</t>
  </si>
  <si>
    <r>
      <t>___</t>
    </r>
    <r>
      <rPr>
        <u/>
        <sz val="11"/>
        <rFont val="Verdana"/>
        <family val="2"/>
      </rPr>
      <t>1</t>
    </r>
    <r>
      <rPr>
        <sz val="11"/>
        <rFont val="Verdana"/>
        <family val="2"/>
      </rPr>
      <t>___</t>
    </r>
  </si>
  <si>
    <t>4** x 110*</t>
  </si>
  <si>
    <r>
      <t>___1</t>
    </r>
    <r>
      <rPr>
        <sz val="11"/>
        <rFont val="Verdana"/>
        <family val="2"/>
      </rPr>
      <t>___</t>
    </r>
  </si>
  <si>
    <t>110*</t>
  </si>
  <si>
    <r>
      <t> </t>
    </r>
    <r>
      <rPr>
        <b/>
        <sz val="12"/>
        <rFont val="Verdana"/>
        <family val="2"/>
      </rPr>
      <t>ÁREA MÉDICO-HOSPITALAR E ASSEMELHADOS</t>
    </r>
  </si>
  <si>
    <r>
      <t>_____</t>
    </r>
    <r>
      <rPr>
        <u/>
        <sz val="10"/>
        <rFont val="Verdana"/>
        <family val="2"/>
      </rPr>
      <t>1</t>
    </r>
    <r>
      <rPr>
        <sz val="10"/>
        <rFont val="Verdana"/>
        <family val="2"/>
      </rPr>
      <t>_____</t>
    </r>
  </si>
  <si>
    <t>30** x 330*</t>
  </si>
  <si>
    <r>
      <t>_</t>
    </r>
    <r>
      <rPr>
        <u/>
        <sz val="10"/>
        <rFont val="Verdana"/>
        <family val="2"/>
      </rPr>
      <t>1</t>
    </r>
    <r>
      <rPr>
        <sz val="10"/>
        <rFont val="Verdana"/>
        <family val="2"/>
      </rPr>
      <t>__</t>
    </r>
  </si>
  <si>
    <t>330*</t>
  </si>
  <si>
    <t>* Caso as produtividades mínimas adotadas sejam diferentes, estes valores das planilhas deverão ser adequados à nova situação, bem como os coeficientes deles decorrentes (Ki e Ke).</t>
  </si>
  <si>
    <t>** Caso a relação entre serventes e encarregados seja diferente, estes valores das planilhas deverão ser adequados à nova situação, bem como os coeficientes deles decorrentes (Ki e Ke).</t>
  </si>
  <si>
    <t>*** Freqüência sugerida em horas por mês. Caso a freqüência adotada, em horas, por mês ou semestre, seja diferente, estes valores deverão ser adequados à nova situação, bem como os coeficientes delas decorrentes (Ki e Ke).</t>
  </si>
  <si>
    <t>II - VALOR MENSAL DOS SERVIÇOS</t>
  </si>
  <si>
    <t>PREÇO MENSAL UNITÁRIO</t>
  </si>
  <si>
    <t>ÁREA</t>
  </si>
  <si>
    <t>TIPO DE ÁREA</t>
  </si>
  <si>
    <t>(R$/ M²)</t>
  </si>
  <si>
    <t>(M²)</t>
  </si>
  <si>
    <t>I - Área Interna</t>
  </si>
  <si>
    <t>II - Área Externa</t>
  </si>
  <si>
    <t>III - Esquadria Externa</t>
  </si>
  <si>
    <t>IV - Fachada Envidraçada</t>
  </si>
  <si>
    <t>V - Área Médico-Hospitalar</t>
  </si>
  <si>
    <t>Anexo III-C - Quadro-resumo – VALOR MENSAL DOS SERVIÇOS
POR LOCALIDADE</t>
  </si>
  <si>
    <t>Anexo III-C - Quadro-resumo – VALOR MENSAL DOS SERVIÇOS</t>
  </si>
  <si>
    <t>I</t>
  </si>
  <si>
    <t>II</t>
  </si>
  <si>
    <t>Valor proposto por empregado</t>
  </si>
  <si>
    <t>Qtde de empregados por posto</t>
  </si>
  <si>
    <t>Valor proposto por posto</t>
  </si>
  <si>
    <t>Qtde</t>
  </si>
  <si>
    <t>Valor total do serviço (MENSAL)</t>
  </si>
  <si>
    <t>Valor total do serviço (SEMESTRAL)</t>
  </si>
  <si>
    <t>III</t>
  </si>
  <si>
    <t>Tipo de serviço</t>
  </si>
  <si>
    <t>(B)</t>
  </si>
  <si>
    <t>(C)</t>
  </si>
  <si>
    <t>(D) = (B x C)</t>
  </si>
  <si>
    <t>de postos</t>
  </si>
  <si>
    <t>IV</t>
  </si>
  <si>
    <t>(E)</t>
  </si>
  <si>
    <t>(F) = (D x E)</t>
  </si>
  <si>
    <t>V</t>
  </si>
  <si>
    <t>(A)</t>
  </si>
  <si>
    <t>VI</t>
  </si>
  <si>
    <t>VII</t>
  </si>
  <si>
    <t>VIII</t>
  </si>
  <si>
    <t>IX</t>
  </si>
  <si>
    <t>X</t>
  </si>
  <si>
    <t>XI</t>
  </si>
  <si>
    <t>XII</t>
  </si>
  <si>
    <t>XIII</t>
  </si>
  <si>
    <t>XIV</t>
  </si>
  <si>
    <t>XV</t>
  </si>
  <si>
    <t>XVI</t>
  </si>
  <si>
    <t>XVII</t>
  </si>
  <si>
    <t>XVIII</t>
  </si>
  <si>
    <t>XIX</t>
  </si>
  <si>
    <t>XX</t>
  </si>
  <si>
    <t>XXI</t>
  </si>
  <si>
    <t>XXII</t>
  </si>
  <si>
    <t>XXIII</t>
  </si>
  <si>
    <t>XXIV</t>
  </si>
  <si>
    <t>XXV</t>
  </si>
  <si>
    <t>XXVI</t>
  </si>
  <si>
    <t>XXVII</t>
  </si>
  <si>
    <t>XXVIII</t>
  </si>
  <si>
    <t>VITÓRIA</t>
  </si>
  <si>
    <t>ALEGRE</t>
  </si>
  <si>
    <t>SÃO MATEUS</t>
  </si>
  <si>
    <t>QUADRO-RESUMO DO VALOR MENSAL DOS SERVIÇOS [LOTE 01 - VITÓRIA]</t>
  </si>
  <si>
    <t>Tipo de Serviço/Posto (A)</t>
  </si>
  <si>
    <t>Valor Proposto por Empregado (B)</t>
  </si>
  <si>
    <t>Qtde. de Empregados por Posto (C)</t>
  </si>
  <si>
    <t>Valor Total (MENSAL) do Serviço (D) = (B x C)</t>
  </si>
  <si>
    <t>Valor Total (ANUAL) do Serviço (E) = (D x 12)</t>
  </si>
  <si>
    <t>TOTAL:</t>
  </si>
  <si>
    <t>MATERIAIS [LOTE 01 - VITÓRIA]</t>
  </si>
  <si>
    <t>Valor Total (MENSAL)</t>
  </si>
  <si>
    <t>Valor Total (ANUAL)</t>
  </si>
  <si>
    <t>QUADRO DEMONSTRATIVO DO VALOR GLOBAL DA PROPOSTA [LOTE 01 - VITÓRIA]</t>
  </si>
  <si>
    <t>DESCRIÇÃO</t>
  </si>
  <si>
    <t>Valor mensal da proposta:</t>
  </si>
  <si>
    <t>Valor global da proposta (Valor mensal do serviço multiplicado pelo número de meses do contrato):</t>
  </si>
  <si>
    <t>QUADRO-RESUMO DO VALOR MENSAL DOS SERVIÇOS [LOTE 02 - ALEGRE/JERÔNIMO MONTEIRO]</t>
  </si>
  <si>
    <t>MATERIAIS [LOTE 02 - ALEGRE/JERÔNIMO MONTEIRO]</t>
  </si>
  <si>
    <t>QUADRO DEMONSTRATIVO DO VALOR GLOBAL DA PROPOSTA [LOTE 02 - ALEGRE/JERÔNIMO MONTEIRO]</t>
  </si>
  <si>
    <t>QUADRO-RESUMO DO VALOR MENSAL DOS SERVIÇOS [LOTE 03 - SÃO MATEUS]</t>
  </si>
  <si>
    <t>MATERIAIS [LOTE 03 - SÃO MATEUS]</t>
  </si>
  <si>
    <t>QUADRO DEMONSTRATIVO DO VALOR GLOBAL DA PROPOSTA [LOTE 03 - SÃO MATEUS]</t>
  </si>
  <si>
    <t>Nº Processo:</t>
  </si>
  <si>
    <t>23068.000864/2022-66</t>
  </si>
  <si>
    <t>Vale transporte intermunicipal/municipal</t>
  </si>
  <si>
    <t>AUXÍLIO CRECHE - VITÓRIA</t>
  </si>
  <si>
    <t>AUXÍLIO CRECHE - ALEGRE/JERÔNIMO MONTEIRO</t>
  </si>
  <si>
    <t>AUXÍLIO CRECHE - SÃO MATEUS</t>
  </si>
  <si>
    <t>Vitória (Grande Vitória):</t>
  </si>
  <si>
    <t>Empregados/Posto</t>
  </si>
  <si>
    <t>Salário</t>
  </si>
  <si>
    <t>Percentual</t>
  </si>
  <si>
    <t>Fórmula 1</t>
  </si>
  <si>
    <t>Fórmula 2 - valor do auxílio</t>
  </si>
  <si>
    <t>Vigência/Número de meses execução contratual:</t>
  </si>
  <si>
    <t>Alegre/JM:</t>
  </si>
  <si>
    <t>Média de dias de prestação dos serviços/mês:</t>
  </si>
  <si>
    <t>São Mateus:</t>
  </si>
  <si>
    <t>Salario Minimo Vigente:</t>
  </si>
  <si>
    <t>Auxliar de Cozinha I</t>
  </si>
  <si>
    <t>Auxliar de Cozinha II</t>
  </si>
  <si>
    <t>SINTRAHOTÉIS</t>
  </si>
  <si>
    <t>Data-Base:</t>
  </si>
  <si>
    <t>1º de Janeiro</t>
  </si>
  <si>
    <t>Cesta Básica:</t>
  </si>
  <si>
    <t>Benef. Social Familiar:</t>
  </si>
  <si>
    <t>ASG I</t>
  </si>
  <si>
    <t>Cesta Natalina:</t>
  </si>
  <si>
    <t>Auxílio Saúde Vitória:</t>
  </si>
  <si>
    <t>ASG II</t>
  </si>
  <si>
    <t>Piso da Categoria:</t>
  </si>
  <si>
    <t>Auxílio Saúde São Mateus:</t>
  </si>
  <si>
    <t>Encarregado de Serv. Gerais</t>
  </si>
  <si>
    <t>SECOTUH</t>
  </si>
  <si>
    <t>Benef. Social Familiar</t>
  </si>
  <si>
    <t>Operador de Câm. Frigorífica</t>
  </si>
  <si>
    <t>Auxílio Saúde Alegre/JM:</t>
  </si>
  <si>
    <r>
      <rPr>
        <b/>
        <sz val="11"/>
        <rFont val="Arial Narrow"/>
        <family val="2"/>
      </rPr>
      <t>Observação Auxílio Creche</t>
    </r>
    <r>
      <rPr>
        <sz val="11"/>
        <rFont val="Arial Narrow"/>
        <family val="2"/>
      </rPr>
      <t xml:space="preserve"> (ver Clásula Vigésima Segunda - SINTRAHOTEIS 2022 e Ata de Reunião da Negociação entre SECOTUH e SINDIBARES) : foi analisado o histórico de contratações anteriores, apurando-se, em média, que 60% dos empregados contratados foram do sexo feminino. Mantendo esse percentual para estimativa da nova contratação, também se estima que, daquele percentual de efetivo (60%), </t>
    </r>
  </si>
  <si>
    <t>30% das empregadas são mães, e que desse percentual, 50% terão (tem) filhos até 06 (seis) anos de idade. A sistemática, aplicada por posto, foi colocada em duas fórmulas, considerando também o percentual de reembolso previsto, perante o salário estimado do posto, obtendo-se o valor do auxílio. A estimativa deverá revista e comprovada ao longo da execução dos futuros contratos.</t>
  </si>
  <si>
    <t>Nas duas fórmulas apresentadas, o valor da estimativa imputada (60% x 30% x 50%), multiplicado pelo número de empregados por posto, deve ter valor superior a 1 (já que se trata de empregados/posto), para possibilitar retorno de valor. Caso contrário, os valores serão "zerados".</t>
  </si>
  <si>
    <t>*Valores em R$</t>
  </si>
  <si>
    <t>Lote/Item</t>
  </si>
  <si>
    <t>Local dos serviços</t>
  </si>
  <si>
    <t>Tipo de Serviço/Posto</t>
  </si>
  <si>
    <t>SINDICATO/CCT/ANO</t>
  </si>
  <si>
    <t>Categoria</t>
  </si>
  <si>
    <t>Quant. empregados p/posto</t>
  </si>
  <si>
    <t>Data Base</t>
  </si>
  <si>
    <t>Periculosidade</t>
  </si>
  <si>
    <t>Insalubridade</t>
  </si>
  <si>
    <t>Vale transp.</t>
  </si>
  <si>
    <t>Cesta Básica</t>
  </si>
  <si>
    <t>Aux. Creche</t>
  </si>
  <si>
    <t>Aux. Saúde</t>
  </si>
  <si>
    <t>EPI´s/Uniformes</t>
  </si>
  <si>
    <t>Equipamentos - Depreciação mensal</t>
  </si>
  <si>
    <t>Benefício Social Familiar</t>
  </si>
  <si>
    <t>Cesta Natalina</t>
  </si>
  <si>
    <t>Auxílio Alimentação</t>
  </si>
  <si>
    <t>1.01</t>
  </si>
  <si>
    <t>Vitória/ES</t>
  </si>
  <si>
    <t>SINTRAHOTEIS 2022</t>
  </si>
  <si>
    <t>Cozinha Industrial</t>
  </si>
  <si>
    <t>1.02</t>
  </si>
  <si>
    <t>Obs: Materiais (exceto EPI´s e Uniformes) serão faturados à parte, não sendo embutidos nas planilhas de custos individuais.</t>
  </si>
  <si>
    <t>1.03</t>
  </si>
  <si>
    <t>Ver abas próprias.</t>
  </si>
  <si>
    <t>1.04</t>
  </si>
  <si>
    <t>1.05</t>
  </si>
  <si>
    <t>1.06</t>
  </si>
  <si>
    <t>1.07</t>
  </si>
  <si>
    <t>Obs: A apuração de valores, referentes à pesquisa de mercado/preços de itens de EPI´s, uniformes, Equipamentos e demais materiais, pode ser consultada no processo de origem da contratação (23068.000864/2022-66), com vista franqueada através do sistema de protocolo da UFES (Lepisma).</t>
  </si>
  <si>
    <t>1.08</t>
  </si>
  <si>
    <t>1.09</t>
  </si>
  <si>
    <t>1.10</t>
  </si>
  <si>
    <t>1.11</t>
  </si>
  <si>
    <t>1.12</t>
  </si>
  <si>
    <t>1.13</t>
  </si>
  <si>
    <t>2.01</t>
  </si>
  <si>
    <t>Alegre/Jerônimo Monteiro/ES</t>
  </si>
  <si>
    <t>SECOTUH 2022</t>
  </si>
  <si>
    <t>2.02</t>
  </si>
  <si>
    <t>2.03</t>
  </si>
  <si>
    <t>2.04</t>
  </si>
  <si>
    <t>2.05</t>
  </si>
  <si>
    <t>2.06</t>
  </si>
  <si>
    <t>2.07</t>
  </si>
  <si>
    <t>2.08</t>
  </si>
  <si>
    <t>2.09</t>
  </si>
  <si>
    <t>2.10</t>
  </si>
  <si>
    <t>3.01</t>
  </si>
  <si>
    <t>São Mateus/ES</t>
  </si>
  <si>
    <t>3.02</t>
  </si>
  <si>
    <t>3.03</t>
  </si>
  <si>
    <t>3.04</t>
  </si>
  <si>
    <t>3.05</t>
  </si>
  <si>
    <t>3.06</t>
  </si>
  <si>
    <t>3.07</t>
  </si>
  <si>
    <t>3.08</t>
  </si>
  <si>
    <t>3.09</t>
  </si>
  <si>
    <t>3.10</t>
  </si>
  <si>
    <t>OBS: A metodologia para apuração dos salários dos postos foi disponibilizada no processo de origem para a contratação, 23068.000864/2022-66, sendo anexada como peça processual.</t>
  </si>
  <si>
    <t>BDI:</t>
  </si>
  <si>
    <t>Lucro / Bonificações</t>
  </si>
  <si>
    <t>TRIBUTOS:</t>
  </si>
  <si>
    <t>PIS</t>
  </si>
  <si>
    <t>Regime NÃO Cumulativo: Comprovar carga tributária efetiva.</t>
  </si>
  <si>
    <t>COFINS</t>
  </si>
  <si>
    <t>ISS</t>
  </si>
  <si>
    <t>Vitória</t>
  </si>
  <si>
    <t>Alegre/JM</t>
  </si>
  <si>
    <t>São Mateus</t>
  </si>
  <si>
    <t>ENCARGOS SOCIAIS E TRABALHISTAS</t>
  </si>
  <si>
    <t>Seguro de Acidente do Trabalho (SAT)</t>
  </si>
  <si>
    <t>SUBTOTAL 1</t>
  </si>
  <si>
    <t>Obs: Várias das rubricas abaixo já têm a incidência do total de Encargos Sociais e Previdenciários (36,80%), vide fórmulas.</t>
  </si>
  <si>
    <t>Corresponde ao valor da remuneração mensal percebida no mês de dezembro.</t>
  </si>
  <si>
    <t>É o acréscimo legal equivalente a 1/3 do salário normal, devido no exercício do direito a férias.</t>
  </si>
  <si>
    <t>Estimativa de 2% (dois por cento) dos funcionários usufruindo de 4 (quatro) meses de licença por ano. Foram acrescidos, à rubrica, os encargos de Adicional de Férias, Férias e 13º Salário.</t>
  </si>
  <si>
    <t>Estimativa de que 5% (cinco por cento) dos funcionários serão substituídos durante um ano.</t>
  </si>
  <si>
    <t>Incidência do FGTS sobre o Aviso Prévio Indenizado</t>
  </si>
  <si>
    <t>Incidência do percentual do encargo de FGTS (8,00%) sobre o Aviso Prévio Indenizado (0,42%).</t>
  </si>
  <si>
    <t>Multa do FGTS do Aviso Prévio Indenizado</t>
  </si>
  <si>
    <t xml:space="preserve">Multa de 40% do FGTS, considerando que 5% (cinco por cento) dos funcionários serão substituídos durante a execução do contrato. </t>
  </si>
  <si>
    <t>Aviso Prévio Trabalhado (APT)</t>
  </si>
  <si>
    <t>Redução de 7 dias ou de 2h por dia. Percentual relativo a contrato de 12 (doze) meses.</t>
  </si>
  <si>
    <t>Incidência dos encargos diretos sobre o APT</t>
  </si>
  <si>
    <t>Incidência dos Encargos Sociais e Previdenciários (36,80%) sobre o Aviso Prévio Trabalhado (1,94%).</t>
  </si>
  <si>
    <t>Multa do FGTS do Aviso Prévio Trabalhado</t>
  </si>
  <si>
    <t>Incidência da multa de 40% sobre o FGTS (8,00%) sobre o Aviso Prévio Trabalhado {(7/30)/12 = 1,94%)}.</t>
  </si>
  <si>
    <t>Deve-se provisionar o custo mensal que a contratada tem com a remuneração do substituto do empregado que goza férias, ou seja, a remuneração correspondente a 30 dias.</t>
  </si>
  <si>
    <t>Estimativa de 5 (cinco) dias de licença por ano.</t>
  </si>
  <si>
    <t>Estimativa de 1,5% (um inteiro e cinco décimos por cento) dos funcionários usufruindo 5 (cinco) dias da licença por ano.</t>
  </si>
  <si>
    <t>Calcula-se o número de dias de ausências legais (estimativa de 3 dias), dividido por 30 (dias) e dividindo-se o resultado por 12 (meses).</t>
  </si>
  <si>
    <t>Ausência por acidente de trabalho</t>
  </si>
  <si>
    <t>Estimativa de 1 (uma) licença de 15 (quinze) dias por ano para 8% (oito por cento) dos funcionários.</t>
  </si>
  <si>
    <t>Outros (indenização adicional)</t>
  </si>
  <si>
    <t>Demais encargos previstos em convenção ou obrigações da empresa, indenização (Art. 9º da Lei nº 7.238/1984) e ausências decorrentes a treinamento em CIPA, entre outros.</t>
  </si>
  <si>
    <t>SUBTOTAL 2</t>
  </si>
  <si>
    <t xml:space="preserve">TOTAL DE ENCARGOS </t>
  </si>
  <si>
    <t>MODELO DE PLANILHA DE CUSTOS E FORMAÇÃO DE PREÇOS</t>
  </si>
  <si>
    <t>Nº do Processo:</t>
  </si>
  <si>
    <t>Licitação Nº:</t>
  </si>
  <si>
    <t>Pregão Eletrônico nº XX/2022</t>
  </si>
  <si>
    <t>Dia __/__/__ às __:__ horas</t>
  </si>
  <si>
    <t>DISCRIMINAÇÃO DOS SERVIÇOS (DADOS REFERENTES À CONTRATAÇÃO)</t>
  </si>
  <si>
    <t>Data de apresentação da proposta (dia/mês/ano):</t>
  </si>
  <si>
    <t>Município/UF:</t>
  </si>
  <si>
    <t>Ano do Acordo, Convenção ou Dissídio Coletivo:</t>
  </si>
  <si>
    <t>Número de meses de execução contratual:</t>
  </si>
  <si>
    <t>IDENTIFICAÇÃO DO SERVIÇO</t>
  </si>
  <si>
    <t xml:space="preserve">Quantidade total a contratar </t>
  </si>
  <si>
    <t>Posto</t>
  </si>
  <si>
    <r>
      <t>Nota</t>
    </r>
    <r>
      <rPr>
        <sz val="9"/>
        <rFont val="Calibri"/>
        <family val="2"/>
      </rPr>
      <t>:</t>
    </r>
    <r>
      <rPr>
        <b/>
        <sz val="9"/>
        <rFont val="Calibri"/>
        <family val="2"/>
      </rPr>
      <t xml:space="preserve"> </t>
    </r>
    <r>
      <rPr>
        <sz val="9"/>
        <rFont val="Calibri"/>
        <family val="2"/>
      </rPr>
      <t>Esta tabela poderá ser adaptada às características do serviço contratado, inclusive no que</t>
    </r>
    <r>
      <rPr>
        <b/>
        <sz val="9"/>
        <rFont val="Calibri"/>
        <family val="2"/>
      </rPr>
      <t xml:space="preserve"> </t>
    </r>
    <r>
      <rPr>
        <sz val="9"/>
        <rFont val="Calibri"/>
        <family val="2"/>
      </rPr>
      <t>concerne às rubricas e suas respectivas provisões e/ou estimativas, desde que haja justificativa.</t>
    </r>
  </si>
  <si>
    <t>1. MÓDULOS</t>
  </si>
  <si>
    <t>Mão-de-obra</t>
  </si>
  <si>
    <t>Mão de obra vinculada à execução contratual</t>
  </si>
  <si>
    <t>Dados para composição dos custos referentes a mão de obra</t>
  </si>
  <si>
    <t>Posto/Função:</t>
  </si>
  <si>
    <t>Classificação Brasileira de Ocupações (CBO):</t>
  </si>
  <si>
    <t>4141-10</t>
  </si>
  <si>
    <t>Salário Normativo da Categoria Profissional:</t>
  </si>
  <si>
    <t>Categoria Profissional (vinculada à execução contratual):</t>
  </si>
  <si>
    <t xml:space="preserve">Data-Base da Categoria </t>
  </si>
  <si>
    <r>
      <t>Nota</t>
    </r>
    <r>
      <rPr>
        <sz val="9"/>
        <rFont val="Calibri"/>
        <family val="2"/>
      </rPr>
      <t>:</t>
    </r>
    <r>
      <rPr>
        <b/>
        <sz val="9"/>
        <rFont val="Calibri"/>
        <family val="2"/>
      </rPr>
      <t xml:space="preserve"> </t>
    </r>
    <r>
      <rPr>
        <sz val="9"/>
        <rFont val="Calibri"/>
        <family val="2"/>
      </rPr>
      <t>A planilha será calculada considerando o</t>
    </r>
    <r>
      <rPr>
        <b/>
        <sz val="9"/>
        <rFont val="Calibri"/>
        <family val="2"/>
      </rPr>
      <t xml:space="preserve"> </t>
    </r>
    <r>
      <rPr>
        <sz val="9"/>
        <rFont val="Calibri"/>
        <family val="2"/>
      </rPr>
      <t>valor mensal do empregado.</t>
    </r>
  </si>
  <si>
    <t>Módulo 1 - Composição da Remuneração</t>
  </si>
  <si>
    <t>Salário-Base:</t>
  </si>
  <si>
    <t>Adicional de Periculosidade:</t>
  </si>
  <si>
    <t>Adicional de Insalubridade:</t>
  </si>
  <si>
    <t>Adicional Noturno:</t>
  </si>
  <si>
    <t>Adicional de Hora Noturna Reduzida:</t>
  </si>
  <si>
    <t>Adicional de Hora Extra no Feriado Trabalhado:</t>
  </si>
  <si>
    <t>Outros (especificar):</t>
  </si>
  <si>
    <t>Total:</t>
  </si>
  <si>
    <r>
      <t>Nota</t>
    </r>
    <r>
      <rPr>
        <sz val="9"/>
        <rFont val="Calibri"/>
        <family val="2"/>
      </rPr>
      <t>:</t>
    </r>
    <r>
      <rPr>
        <b/>
        <sz val="9"/>
        <rFont val="Calibri"/>
        <family val="2"/>
      </rPr>
      <t xml:space="preserve"> </t>
    </r>
    <r>
      <rPr>
        <sz val="9"/>
        <rFont val="Calibri"/>
        <family val="2"/>
      </rPr>
      <t>O Módulo 1 refere-se ao</t>
    </r>
    <r>
      <rPr>
        <b/>
        <sz val="9"/>
        <rFont val="Calibri"/>
        <family val="2"/>
      </rPr>
      <t xml:space="preserve"> </t>
    </r>
    <r>
      <rPr>
        <sz val="9"/>
        <rFont val="Calibri"/>
        <family val="2"/>
      </rPr>
      <t>valor mensal devido ao empregado pela prestação do serviço no período de 12 meses.</t>
    </r>
  </si>
  <si>
    <t>Módulo 2 - Encargos e Benefícios Anuais, Mensais e Diários</t>
  </si>
  <si>
    <t>Submódulo2.1 - 13º (décimo terceiro) Salário, Férias e Adicional de Férias</t>
  </si>
  <si>
    <t>2.1.</t>
  </si>
  <si>
    <t>13º(décimo terceiro) Salário, Férias e Adicional de Férias</t>
  </si>
  <si>
    <t>13º (décimo terceiro) Salário:</t>
  </si>
  <si>
    <t>Férias e Adicional de Férias:</t>
  </si>
  <si>
    <r>
      <t>Nota (1)</t>
    </r>
    <r>
      <rPr>
        <sz val="9"/>
        <rFont val="Calibri"/>
        <family val="2"/>
      </rPr>
      <t>:</t>
    </r>
    <r>
      <rPr>
        <b/>
        <sz val="9"/>
        <rFont val="Calibri"/>
        <family val="2"/>
      </rPr>
      <t xml:space="preserve"> </t>
    </r>
    <r>
      <rPr>
        <sz val="9"/>
        <rFont val="Calibri"/>
        <family val="2"/>
      </rPr>
      <t>Como a planilha de custos e formação de preços é calculada</t>
    </r>
    <r>
      <rPr>
        <b/>
        <sz val="9"/>
        <rFont val="Calibri"/>
        <family val="2"/>
      </rPr>
      <t xml:space="preserve"> </t>
    </r>
    <r>
      <rPr>
        <u/>
        <sz val="9"/>
        <rFont val="Calibri"/>
        <family val="2"/>
      </rPr>
      <t>mensalmente</t>
    </r>
    <r>
      <rPr>
        <sz val="9"/>
        <rFont val="Calibri"/>
        <family val="2"/>
      </rPr>
      <t>, provisiona-se</t>
    </r>
    <r>
      <rPr>
        <b/>
        <sz val="9"/>
        <rFont val="Calibri"/>
        <family val="2"/>
      </rPr>
      <t xml:space="preserve"> </t>
    </r>
    <r>
      <rPr>
        <sz val="9"/>
        <rFont val="Calibri"/>
        <family val="2"/>
      </rPr>
      <t>proporcionalmente 1/12 (um doze avos) dos valores referentes a gratificação natalina e adicional de férias.</t>
    </r>
  </si>
  <si>
    <r>
      <t>Nota (2)</t>
    </r>
    <r>
      <rPr>
        <sz val="9"/>
        <rFont val="Calibri"/>
        <family val="2"/>
      </rPr>
      <t>:</t>
    </r>
    <r>
      <rPr>
        <b/>
        <sz val="9"/>
        <rFont val="Calibri"/>
        <family val="2"/>
      </rPr>
      <t xml:space="preserve"> </t>
    </r>
    <r>
      <rPr>
        <sz val="9"/>
        <rFont val="Calibri"/>
        <family val="2"/>
      </rPr>
      <t>O adicional de férias contido no Submódulo 2.1 corresponde a 1/3 (um terço) da</t>
    </r>
    <r>
      <rPr>
        <b/>
        <sz val="9"/>
        <rFont val="Calibri"/>
        <family val="2"/>
      </rPr>
      <t xml:space="preserve"> </t>
    </r>
    <r>
      <rPr>
        <sz val="9"/>
        <rFont val="Calibri"/>
        <family val="2"/>
      </rPr>
      <t>remuneração que por sua vez é divido por 12 (doze) conforme Nota 1 acima.</t>
    </r>
  </si>
  <si>
    <t>Submódulo 2.2 - Encargos Previdenciários (GPS), Fundo de Garantia por Tempo de Serviço (FGTS) e outras contribuições.</t>
  </si>
  <si>
    <t>2.2</t>
  </si>
  <si>
    <t>GPS, FGTS e outras contribuições</t>
  </si>
  <si>
    <t>Percentual (%)</t>
  </si>
  <si>
    <t>INSS:</t>
  </si>
  <si>
    <t>Salário Educação:</t>
  </si>
  <si>
    <t>SAT (RAT/FAP):</t>
  </si>
  <si>
    <t>SESC ou SESI:</t>
  </si>
  <si>
    <t>SENAI - SENAC:</t>
  </si>
  <si>
    <t>SEBRAE:</t>
  </si>
  <si>
    <t>INCRA:</t>
  </si>
  <si>
    <t>FGTS:</t>
  </si>
  <si>
    <r>
      <t>Nota (1)</t>
    </r>
    <r>
      <rPr>
        <sz val="9"/>
        <rFont val="Calibri"/>
        <family val="2"/>
      </rPr>
      <t>:</t>
    </r>
    <r>
      <rPr>
        <b/>
        <sz val="9"/>
        <rFont val="Calibri"/>
        <family val="2"/>
      </rPr>
      <t xml:space="preserve"> </t>
    </r>
    <r>
      <rPr>
        <sz val="9"/>
        <rFont val="Calibri"/>
        <family val="2"/>
      </rPr>
      <t>Os percentuais dos encargos previdenciários, do FGTS e demais contribuições são</t>
    </r>
    <r>
      <rPr>
        <b/>
        <sz val="9"/>
        <rFont val="Calibri"/>
        <family val="2"/>
      </rPr>
      <t xml:space="preserve"> </t>
    </r>
    <r>
      <rPr>
        <sz val="9"/>
        <rFont val="Calibri"/>
        <family val="2"/>
      </rPr>
      <t>aqueles estabelecidos pela legislação vigente.</t>
    </r>
  </si>
  <si>
    <r>
      <t>Nota (2)</t>
    </r>
    <r>
      <rPr>
        <sz val="9"/>
        <rFont val="Calibri"/>
        <family val="2"/>
      </rPr>
      <t>:</t>
    </r>
    <r>
      <rPr>
        <b/>
        <sz val="9"/>
        <rFont val="Calibri"/>
        <family val="2"/>
      </rPr>
      <t xml:space="preserve"> </t>
    </r>
    <r>
      <rPr>
        <sz val="9"/>
        <rFont val="Calibri"/>
        <family val="2"/>
      </rPr>
      <t>O SAT a depender do grau de risco do serviço irá variar entre 1%, para risco leve, de 2%,</t>
    </r>
    <r>
      <rPr>
        <b/>
        <sz val="9"/>
        <rFont val="Calibri"/>
        <family val="2"/>
      </rPr>
      <t xml:space="preserve"> </t>
    </r>
    <r>
      <rPr>
        <sz val="9"/>
        <rFont val="Calibri"/>
        <family val="2"/>
      </rPr>
      <t>para risco médio, e de 3% de risco grave.</t>
    </r>
  </si>
  <si>
    <r>
      <t>Nota (3)</t>
    </r>
    <r>
      <rPr>
        <sz val="9"/>
        <rFont val="Calibri"/>
        <family val="2"/>
      </rPr>
      <t>:</t>
    </r>
    <r>
      <rPr>
        <b/>
        <sz val="9"/>
        <rFont val="Calibri"/>
        <family val="2"/>
      </rPr>
      <t xml:space="preserve"> </t>
    </r>
    <r>
      <rPr>
        <sz val="9"/>
        <rFont val="Calibri"/>
        <family val="2"/>
      </rPr>
      <t>Esses percentuais incidem sobre o Módulo 1, o Submódulo 2.1, o Módulo 3, Módulo 4 e</t>
    </r>
    <r>
      <rPr>
        <b/>
        <sz val="9"/>
        <rFont val="Calibri"/>
        <family val="2"/>
      </rPr>
      <t xml:space="preserve"> </t>
    </r>
    <r>
      <rPr>
        <sz val="9"/>
        <rFont val="Calibri"/>
        <family val="2"/>
      </rPr>
      <t>o Módulo 6.</t>
    </r>
  </si>
  <si>
    <t>Submódulo 2.3 - Benefícios Mensais e Diários.</t>
  </si>
  <si>
    <t>2.3</t>
  </si>
  <si>
    <t>Transporte:</t>
  </si>
  <si>
    <t>Assistência Médica e Familiar:</t>
  </si>
  <si>
    <t>Auxílio Creche:</t>
  </si>
  <si>
    <t>Benefício Social Familiar:</t>
  </si>
  <si>
    <t>Auxílio Alimentação:</t>
  </si>
  <si>
    <r>
      <t>Nota (1)</t>
    </r>
    <r>
      <rPr>
        <sz val="9"/>
        <rFont val="Calibri"/>
        <family val="2"/>
      </rPr>
      <t>:</t>
    </r>
    <r>
      <rPr>
        <b/>
        <sz val="9"/>
        <rFont val="Calibri"/>
        <family val="2"/>
      </rPr>
      <t xml:space="preserve"> </t>
    </r>
    <r>
      <rPr>
        <sz val="9"/>
        <rFont val="Calibri"/>
        <family val="2"/>
      </rPr>
      <t>O valor informado deverá ser o custo real do benefício (descontado o valor eventualmente</t>
    </r>
    <r>
      <rPr>
        <b/>
        <sz val="9"/>
        <rFont val="Calibri"/>
        <family val="2"/>
      </rPr>
      <t xml:space="preserve"> </t>
    </r>
    <r>
      <rPr>
        <sz val="9"/>
        <rFont val="Calibri"/>
        <family val="2"/>
      </rPr>
      <t>pago pelo empregado).</t>
    </r>
  </si>
  <si>
    <r>
      <t>Nota (2)</t>
    </r>
    <r>
      <rPr>
        <sz val="9"/>
        <rFont val="Calibri"/>
        <family val="2"/>
      </rPr>
      <t>:</t>
    </r>
    <r>
      <rPr>
        <b/>
        <sz val="9"/>
        <rFont val="Calibri"/>
        <family val="2"/>
      </rPr>
      <t xml:space="preserve"> </t>
    </r>
    <r>
      <rPr>
        <sz val="9"/>
        <rFont val="Calibri"/>
        <family val="2"/>
      </rPr>
      <t>Observar a previsão dos benefícios contidos em Acordos, Convenções e Dissídios</t>
    </r>
    <r>
      <rPr>
        <b/>
        <sz val="9"/>
        <rFont val="Calibri"/>
        <family val="2"/>
      </rPr>
      <t xml:space="preserve"> </t>
    </r>
    <r>
      <rPr>
        <sz val="9"/>
        <rFont val="Calibri"/>
        <family val="2"/>
      </rPr>
      <t>Coletivos de Trabalho e atentar-se ao disposto no art. 6º desta Instrução Normativa.</t>
    </r>
  </si>
  <si>
    <t>Quadro-Resumo do Módulo 2 - Encargos e Benefícios anuais, mensais e diários</t>
  </si>
  <si>
    <t>Encargos e Benefícios Anuais, Mensais e Diários</t>
  </si>
  <si>
    <t>2.1</t>
  </si>
  <si>
    <t>13º (décimo terceiro) Salário, Férias e Adicional de Férias:</t>
  </si>
  <si>
    <t>GPS, FGTS e outras contribuições:</t>
  </si>
  <si>
    <t>Benefícios Mensais e Diários:</t>
  </si>
  <si>
    <t>Módulo 3 - Provisão para Rescisão</t>
  </si>
  <si>
    <t>Aviso Prévio Indenizado:</t>
  </si>
  <si>
    <t>Incidência do FGTS sobre o Aviso Prévio Indenizado:</t>
  </si>
  <si>
    <t>Multa do FGTS e contribuição social sobre o Aviso Prévio Indenizado:</t>
  </si>
  <si>
    <t>Aviso Prévio Trabalhado:</t>
  </si>
  <si>
    <t>Incidência dos encargos do submódulo 2.2 sobre o Aviso Prévio Trabalhado:</t>
  </si>
  <si>
    <t>Multa do FGTS e contribuição social sobre o Aviso Prévio Trabalhado:</t>
  </si>
  <si>
    <t>Módulo 4 - Custo de Reposição do Profissional Ausente</t>
  </si>
  <si>
    <r>
      <t>Nota (1)</t>
    </r>
    <r>
      <rPr>
        <sz val="9"/>
        <rFont val="Calibri"/>
        <family val="2"/>
      </rPr>
      <t>: Os itens que contemplam o módulo 4 se referem ao custo dos dias trabalhados pelo</t>
    </r>
    <r>
      <rPr>
        <b/>
        <sz val="9"/>
        <rFont val="Calibri"/>
        <family val="2"/>
      </rPr>
      <t xml:space="preserve"> </t>
    </r>
    <r>
      <rPr>
        <sz val="9"/>
        <rFont val="Calibri"/>
        <family val="2"/>
      </rPr>
      <t>repositor/substituto que por ventura venha cobrir o empregado nos casos de Ausências Legais (Submódulo 4.1) e/ou na Intrajornada (Submódulo 4.2), a depender da prestação do serviço.</t>
    </r>
  </si>
  <si>
    <r>
      <t>Nota (2)</t>
    </r>
    <r>
      <rPr>
        <sz val="9"/>
        <rFont val="Calibri"/>
        <family val="2"/>
      </rPr>
      <t>:</t>
    </r>
    <r>
      <rPr>
        <b/>
        <sz val="9"/>
        <rFont val="Calibri"/>
        <family val="2"/>
      </rPr>
      <t xml:space="preserve"> </t>
    </r>
    <r>
      <rPr>
        <sz val="9"/>
        <rFont val="Calibri"/>
        <family val="2"/>
      </rPr>
      <t>Haverá a incidência do Submódulo 2.2 sobre esse módulo.</t>
    </r>
  </si>
  <si>
    <t>Submódulo 4.1 - Ausências Legais</t>
  </si>
  <si>
    <t>Ausências Legais</t>
  </si>
  <si>
    <t>Férias:</t>
  </si>
  <si>
    <t>Ausências Legais:</t>
  </si>
  <si>
    <t>Licença Paternidade:</t>
  </si>
  <si>
    <t>Ausência por acidente de trabalho:</t>
  </si>
  <si>
    <t>Outros (indenização adicional):</t>
  </si>
  <si>
    <r>
      <t>Nota</t>
    </r>
    <r>
      <rPr>
        <sz val="9"/>
        <rFont val="Calibri"/>
        <family val="2"/>
      </rPr>
      <t>:</t>
    </r>
    <r>
      <rPr>
        <b/>
        <sz val="9"/>
        <rFont val="Calibri"/>
        <family val="2"/>
      </rPr>
      <t xml:space="preserve"> </t>
    </r>
    <r>
      <rPr>
        <sz val="9"/>
        <rFont val="Calibri"/>
        <family val="2"/>
      </rPr>
      <t>As alíneas “A” a “F” referem-se somente ao custo que será pago ao repositor pelos dias</t>
    </r>
    <r>
      <rPr>
        <b/>
        <sz val="9"/>
        <rFont val="Calibri"/>
        <family val="2"/>
      </rPr>
      <t xml:space="preserve"> </t>
    </r>
    <r>
      <rPr>
        <sz val="9"/>
        <rFont val="Calibri"/>
        <family val="2"/>
      </rPr>
      <t>trabalhados quando da necessidade de substituir a mão de obra alocada na prestação do serviço.</t>
    </r>
  </si>
  <si>
    <t>Submódulo 4.2 - Intrajornada</t>
  </si>
  <si>
    <t>Intrajornada</t>
  </si>
  <si>
    <t>Intervalo para repouso ou alimentação:</t>
  </si>
  <si>
    <r>
      <t>Nota</t>
    </r>
    <r>
      <rPr>
        <sz val="9"/>
        <rFont val="Calibri"/>
        <family val="2"/>
      </rPr>
      <t>:</t>
    </r>
    <r>
      <rPr>
        <b/>
        <sz val="9"/>
        <rFont val="Calibri"/>
        <family val="2"/>
      </rPr>
      <t xml:space="preserve"> </t>
    </r>
    <r>
      <rPr>
        <sz val="9"/>
        <rFont val="Calibri"/>
        <family val="2"/>
      </rPr>
      <t>Quando houver a necessidade de reposição de um empregado durante sua ausência nos</t>
    </r>
    <r>
      <rPr>
        <b/>
        <sz val="9"/>
        <rFont val="Calibri"/>
        <family val="2"/>
      </rPr>
      <t xml:space="preserve"> </t>
    </r>
    <r>
      <rPr>
        <sz val="9"/>
        <rFont val="Calibri"/>
        <family val="2"/>
      </rPr>
      <t>casos</t>
    </r>
    <r>
      <rPr>
        <sz val="12"/>
        <rFont val="Calibri"/>
        <family val="2"/>
      </rPr>
      <t xml:space="preserve"> </t>
    </r>
    <r>
      <rPr>
        <sz val="9"/>
        <rFont val="Calibri"/>
        <family val="2"/>
      </rPr>
      <t>de intervalo</t>
    </r>
    <r>
      <rPr>
        <sz val="12"/>
        <rFont val="Calibri"/>
        <family val="2"/>
      </rPr>
      <t xml:space="preserve"> </t>
    </r>
    <r>
      <rPr>
        <sz val="9"/>
        <rFont val="Calibri"/>
        <family val="2"/>
      </rPr>
      <t>para repouso ou alimentação deve-se contemplar o Submódulo 4.2.</t>
    </r>
  </si>
  <si>
    <t>Quadro-Resumo do Módulo 4 - Custo de Reposição do Profissional Ausente</t>
  </si>
  <si>
    <t>Custo de Reposição do Profissional Ausente</t>
  </si>
  <si>
    <t>Intrajornada:</t>
  </si>
  <si>
    <t>Módulo 5 - Insumos Diversos</t>
  </si>
  <si>
    <t>EPI´s/Uniformes:</t>
  </si>
  <si>
    <t>Equipamentos - Depreciação mensal:</t>
  </si>
  <si>
    <r>
      <t>Nota</t>
    </r>
    <r>
      <rPr>
        <sz val="9"/>
        <rFont val="Calibri"/>
        <family val="2"/>
      </rPr>
      <t>:</t>
    </r>
    <r>
      <rPr>
        <b/>
        <sz val="9"/>
        <rFont val="Calibri"/>
        <family val="2"/>
      </rPr>
      <t xml:space="preserve"> </t>
    </r>
    <r>
      <rPr>
        <sz val="9"/>
        <rFont val="Calibri"/>
        <family val="2"/>
      </rPr>
      <t>Valores mensais por empregado.</t>
    </r>
  </si>
  <si>
    <t>Módulo 6 - Custos Indiretos, Tributos e Lucro</t>
  </si>
  <si>
    <t>Custos Indiretos:</t>
  </si>
  <si>
    <t>Lucro:</t>
  </si>
  <si>
    <t>Tributos:</t>
  </si>
  <si>
    <t>C.1. Tributos Federais (PIS e COFINS):</t>
  </si>
  <si>
    <t>C.2. Tributos Estaduais (especificar):</t>
  </si>
  <si>
    <t>C.3. Tributos Municipais (ISSQN):</t>
  </si>
  <si>
    <r>
      <t>Nota (1)</t>
    </r>
    <r>
      <rPr>
        <sz val="9"/>
        <rFont val="Calibri"/>
        <family val="2"/>
      </rPr>
      <t>:</t>
    </r>
    <r>
      <rPr>
        <b/>
        <sz val="9"/>
        <rFont val="Calibri"/>
        <family val="2"/>
      </rPr>
      <t xml:space="preserve"> </t>
    </r>
    <r>
      <rPr>
        <sz val="9"/>
        <rFont val="Calibri"/>
        <family val="2"/>
      </rPr>
      <t>Custos Indiretos, Tributos e Lucro por empregado.</t>
    </r>
  </si>
  <si>
    <r>
      <t>Nota (2)</t>
    </r>
    <r>
      <rPr>
        <sz val="9"/>
        <rFont val="Calibri"/>
        <family val="2"/>
      </rPr>
      <t>: O valor referente a tributos é obtido aplicando-se o percentual sobre o valor do</t>
    </r>
    <r>
      <rPr>
        <b/>
        <sz val="9"/>
        <rFont val="Calibri"/>
        <family val="2"/>
      </rPr>
      <t xml:space="preserve"> </t>
    </r>
    <r>
      <rPr>
        <sz val="9"/>
        <rFont val="Calibri"/>
        <family val="2"/>
      </rPr>
      <t>faturamento.</t>
    </r>
  </si>
  <si>
    <t>2. QUADRO-RESUMO DO CUSTO POR EMPREGADO</t>
  </si>
  <si>
    <t>Mão de obra vinculada à execução contratual (valor por empregado)</t>
  </si>
  <si>
    <t>Módulo 1 - Composição da Remuneração:</t>
  </si>
  <si>
    <t>Módulo 2-Encargos e Benefícios Anuais, Mensais e Diários:</t>
  </si>
  <si>
    <t>Módulo 3 - Provisão para Rescisão:</t>
  </si>
  <si>
    <t>Módulo 4 - Custo de Reposição do Profissional Ausente:</t>
  </si>
  <si>
    <t>Módulo 5 - Insumos Diversos:</t>
  </si>
  <si>
    <t>Subtotal (A + B +C+ D+E):</t>
  </si>
  <si>
    <t>Módulo 6 - Custos Indiretos, Tributos e Lucro:</t>
  </si>
  <si>
    <t>Valor Total por Empregado:</t>
  </si>
  <si>
    <t>Valor Total do Posto:</t>
  </si>
  <si>
    <t>4221-05</t>
  </si>
  <si>
    <t>5135-05</t>
  </si>
  <si>
    <t>5132-05</t>
  </si>
  <si>
    <t>5143-20</t>
  </si>
  <si>
    <t>2711-05</t>
  </si>
  <si>
    <t>4101-05</t>
  </si>
  <si>
    <t>3131-15</t>
  </si>
  <si>
    <t>5143-25</t>
  </si>
  <si>
    <t>8414-56</t>
  </si>
  <si>
    <r>
      <t xml:space="preserve">Nota: </t>
    </r>
    <r>
      <rPr>
        <sz val="9"/>
        <rFont val="Calibri"/>
        <family val="2"/>
      </rPr>
      <t>O Módulo 1 refere-se ao</t>
    </r>
    <r>
      <rPr>
        <b/>
        <sz val="9"/>
        <rFont val="Calibri"/>
        <family val="2"/>
      </rPr>
      <t xml:space="preserve"> </t>
    </r>
    <r>
      <rPr>
        <sz val="9"/>
        <rFont val="Calibri"/>
        <family val="2"/>
      </rPr>
      <t>valor mensal devido ao empregado pela prestação do serviço no período de 12 meses.</t>
    </r>
  </si>
  <si>
    <r>
      <t>Nota</t>
    </r>
    <r>
      <rPr>
        <b/>
        <sz val="9"/>
        <rFont val="Calibri"/>
        <family val="2"/>
      </rPr>
      <t xml:space="preserve"> </t>
    </r>
    <r>
      <rPr>
        <sz val="9"/>
        <rFont val="Calibri"/>
        <family val="2"/>
      </rPr>
      <t>A planilha será calculada considerando o</t>
    </r>
    <r>
      <rPr>
        <b/>
        <sz val="9"/>
        <rFont val="Calibri"/>
        <family val="2"/>
      </rPr>
      <t xml:space="preserve"> </t>
    </r>
    <r>
      <rPr>
        <sz val="9"/>
        <rFont val="Calibri"/>
        <family val="2"/>
      </rPr>
      <t>valor mensal do empregado.</t>
    </r>
  </si>
  <si>
    <t>EQUIPAMENTOS PARA JARDINAGEM - POSTOS QUE UTILIZARÃO: ASG I E ASG II</t>
  </si>
  <si>
    <t>Valor da pesquisa de mercado</t>
  </si>
  <si>
    <t>Quantidade</t>
  </si>
  <si>
    <t>Vida útil</t>
  </si>
  <si>
    <t>Taxa anual</t>
  </si>
  <si>
    <t>Depreciação mensal</t>
  </si>
  <si>
    <t>Carrinho de mão com uma roda</t>
  </si>
  <si>
    <t>Cortador de grama elétrico 1300 w</t>
  </si>
  <si>
    <t> Pulverizador costal manual, capacidade 20l </t>
  </si>
  <si>
    <t>Nº de postos/funcionários para o rateio</t>
  </si>
  <si>
    <t>Valor mensal do rateio p/ posto</t>
  </si>
  <si>
    <t>EQUIPAMENTOS PARA MANUTENÇÃO - POSTOS QUE UTILIZARÃO: ENCARREGADO DE MANUTENÇÃO E AUXILIAR DE MANUTENÇÃO</t>
  </si>
  <si>
    <t>ESCADA EXTENSÍVEL DE ALUMÍNIO 2X6 SUPORTE DE ATÉ 150KG</t>
  </si>
  <si>
    <t>LIXADEIRA ANGULAR 7 POLEGADAS 110 V 2200W</t>
  </si>
  <si>
    <t>PAQUÍMETRO UNIVERSAL ANALOGICO EM AÇO INOXIDÁVEL PROFISSIONAL ,  ABERTURA DE 150MM, MEDIDAS: POLEGADAS/MILÍMETRO,  GRADUAÇÕES: 1/128"/0,05MM;  PARAFUSO DE TRAVA PARA FIXAR AS MEDIDAS., COM ESTOJO PARA ARMAZENAMENTO</t>
  </si>
  <si>
    <t>MÁQUINA DE SOLDA INVERSORA PORTÁTIL ; QUE OPERE EM REDES 110V E 220V. DEVE ACOMPANHAR UMA ALÇA PARA TRANSPORTÁ-LA NOS OMBROS.
O EQUIPAMENTO DEVE APRESENTAR SENSOR CONTRA SOBRE-AQUECIMENTO. DEVE APRESENTAR A POSSIBILIDADE DE SOLDAGEM COM OS ELETRODOS DE DIAMETROS ATÉ 3,25MM.
DEVE SER ACOMPANHADO DE UM(1) CONJUNTO PORTA ELETRODOS (CABO COM CONECTOR RÁPIDO DE NO MÍNIMO 2,5M E PORTA-ELETRODO) E UM(1) CONJUNTO GARRA OBRA (CABO COM CONECTOR RÁPIDO DE NO MÍNIMO 2M E GARRA NEGATIVA). NÃO DEVE ULTRAPASSAR O PESO DE 10,0 Kg.</t>
  </si>
  <si>
    <t>ALICATE AMPERÍMETRO DIGITAL PORTATIL TRUE-RMS COM CLASSIFICAÇÃO DE SEGURANÇA CAT III 600V, COM AUTO-RANGE COM AS SEGUINTES CARACTERISTICAS DE MEDIDAS : CORRENTE ALTERNADA AC COM FUNDO DE ESCALA MÍNIMA DE 400A E PRECISÃO DE +/-2%; TENSÃO ALTERNADA AC COM FUNDO DE ESCALA MINÍMA DE 600V E PRECISÃO DE +/-1,5%; TENSÃO CONTÍNUA DC COM FUNDO DE ESCALA MINÍMA DE 600V E PRECISÃO DE +/- 1,0%, MEDIDA DE RESISTÊNCIA COM FUNDO DE ESCALA MINÍMA DE 4000Ω E PRECISÃO DE +/-1%.  TESTE DE CONTINUIDADE COM ALARME SONORO.  INCLUSO PONTAS DE PROVA BATERIA E/OU PILHAS DE ALIMENTAÇÃO.</t>
  </si>
  <si>
    <t>ESMERILHADEIRA ANGULAR DE 7 POLEGADAS, LINHA PROFISSIONAL, ROTAÇÕES SEM CARGA: 8500 RPM , 100% ROLAMENTADA, POTENCIA 2200W , TENSÃO 220V, ACOMPANHA EMPUNHADURA LATERAL , CHAVE PARA TROCA DO DISCO E PROTETOR DE DISCO.</t>
  </si>
  <si>
    <t>PARAFUSADEIRA/FURADEIRA IMPACTO PROFISSIONAL A BATERIA, MANDRIL METÁLICO DE APERTO RÁPIDO DE 1/2'',  VELOCIDADE VARIÁVEL E REVERSÍVEL , CONTROLE DE TORQUE COM 22 POSIÇÕES, ROTAÇÕES POR MINUTO MÍNIMA:  1.800RPM ,TORQUE: MAIOR OU IGUAL A 55 N.M, COM LUZ DE LED.  ACOMPANHA: 2 BATERIAS RECARREGÁVEIS, CARREGADOR 110V, MALETA PRÓPRIA PARA TRANSPORTE. MODELO DE REFERÊNCIA: DCD985L2 DEWALT</t>
  </si>
  <si>
    <t>DETECTOR DA VAZAMENTO DE GASES INFLAMÁVEIS PORTÁTIL, COM RESOLUÇÃO DE 1PPM, SONDA FLEXÍVEL DE 11" (270MM), COM DISPLAY LCD COM BARRA GRÁFICA E ALARME SONORO, AUTO ZERO AJUSTÁVEL E ALARME VISUAL SONORO)</t>
  </si>
  <si>
    <t>EQUIPAMENTOS DE LAVANDERIA - POSTOS QUE UTILIZARÃO: TODOS</t>
  </si>
  <si>
    <t>Lavadora de Roupa com capacidade de 15 Kg (lavagem completa), voltagem 220 V, branca, com no mínimo 4 (quatro) níveis de água, tipo de abertura superior, programas de lavagem, cesto em inox ou em material resistente à oxidação, gabinete em aço galvanizado, pés niveladores, alça de transporte. Garantia mínima: 12 meses</t>
  </si>
  <si>
    <t xml:space="preserve">Secadora de Roupas, tipo secadora de piso, acesso frontal, com no mínimo 5 (cinco) programas e 2 (duas) opções de temperatura. Rotação reversível, cesto de aço inox, capacidade 10 kg de roupa centrifugada, turbo rápida, cor branca, voltagem 220 V. Garantia mínima: 12 meses. </t>
  </si>
  <si>
    <t>Ferro de passar roupa a vapor e seco, com spray, limpeza automática, ajuste automático de vapor, suporte para enrolar o cabo elétrico.Voltagem: 220V, potência: 1.200 Watts, freqüência: 50-60 Hz.Garantia mínima: 12 meses.</t>
  </si>
  <si>
    <t>Tábua de passar roupa, material base aglomerado naval, espuma recoberto em tecido de algodão, pés tubo aço com pintura epóxi, comprimento entre 0,90 e 1,20cm, largura mínima de 0,30cm. Características adicionais: regulagem de altura em 3 posições, passa manga, suporte de ferro.</t>
  </si>
  <si>
    <t>Nº de postos para o rateio</t>
  </si>
  <si>
    <t>EQUIPAMENTOS PARA MANUTENÇÃO - POSTO QUE UTILIZARÁ: OFICIAL DE MANUTENÇÃO</t>
  </si>
  <si>
    <t>PAQUÍMETRO UNIVERSAL ANALÓGICO EM AÇO INOXIDÁVEL PROFISSIONAL, ABERTURA DE 150MM, MEDIDAS: POLEGADAS/MILÍMETRO,  GRADUAÇÕES: 1/128"/0,05MM;  PARAFUSO DE TRAVA PARA FIXAR AS MEDIDAS. COM ESTOJO PARA ARMAZENAMENTO</t>
  </si>
  <si>
    <t>ALICATE AMPERÍMETRO DIGITAL PORTÁTIL TRUE-RMS COM CLASSIFICAÇÃO DE SEGURANÇA CAT III 600V, COM AUTO-RANGE COM AS SEGUINTES CARACTERÍSTICAS DE MEDIDAS: CORRENTE ALTERNADA AC COM FUNDO DE ESCALA MÍNIMA DE 400A E PRECISÃO DE +/-2%; TENSÃO ALTERNADA AC COM FUNDO DE ESCALA MINÍMA DE 600V E PRECISÃO DE +/-1,5%; TENSÃO CONTÍNUA DC COM FUNDO DE ESCALA MINÍMA DE 600V E PRECISÃO DE +/- 1,0%, MEDIDA DE RESISTÊNCIA COM FUNDO DE ESCALA MINÍMA DE 4000Ω E PRECISÃO DE +/-1%.  TESTE DE CONTINUIDADE COM ALARME SONORO.  INCLUSO PONTAS DE PROVA BATERIA E/OU PILHAS DE ALIMENTAÇÃO.</t>
  </si>
  <si>
    <t>PARAFUSADEIRA/FURADEIRA IMPACTO PROFISSIONAL A BATERIA, MANDRIL METÁLICO DE APERTO RÁPIDO DE 1/2'',  VELOCIDADE VARIÁVEL E REVERSÍVEL , CONTROLE DE TORQUE COM 22 POSIÇÕES, ROTAÇÕES POR MINUTO MÍNIMA:  1.800RPM, TORQUE: MAIOR OU IGUAL A 55 N.M, COM LUZ DE LED.  ACOMPANHA: 2 BATERIAS RECARREGÁVEIS, CARREGADOR 220V, MALETA PRÓPRIA PARA TRANSPORTE.      MODELO DE REFERÊNCIA: DCD985L2 DEWALT</t>
  </si>
  <si>
    <t>SERRA MÁRMORE, DIÂMETRO DO DISCO 110MM, DIÂMETRO DO FURO 20MM, POTÊNCIA DE 1275W A 100W, 220V. MODELO DE REFERÊNCIA: 4100NH3ZX2</t>
  </si>
  <si>
    <t>DETECTOR DA VAZAMENTO DE GASES INFLAMÁVEIS PORTÁTIL, COM RESOLUÇÃO DE 1PPM, SONDA FLEXÍVEL DE 11" (270MM), COM DISPLAY LCD COM BARRA GRÁFICA E ALARME SONORO, AUTO ZERO AJUSTÁVEL E ALARME VISUAL SONORO</t>
  </si>
  <si>
    <t>MÁQUINA DE SOLDA INVERSORA PORTÁTIL ; QUE OPERE EM REDES 110V E 220V. DEVE ACOMPANHAR UMA ALÇA PARA TRANSPORTÁ-LA NOS OMBROS. O EQUIPAMENTO DEVE APRESENTAR SENSOR CONTRA SOBRE-AQUECIMENTO. DEVE APRESENTAR A POSSIBILIDADE DE SOLDAGEM COM OS ELETRODOS DE DIAMETROS ATÉ 3,25MM. DEVE SER ACOMPANHADO DE UM(1) CONJUNTO PORTA ELETRODOS (CABO COM CONECTOR RÁPIDO DE NO MÍNIMO 2,5M E PORTA-ELETRODO) E UM(1) CONJUNTO GARRA OBRA (CABO COM CONECTOR RÁPIDO DE NO MÍNIMO 2M E GARRA NEGATIVA). NÃO DEVE ULTRAPASSAR O PESO DE 10,0 Kg.</t>
  </si>
  <si>
    <t>Pulverizador costal manual, capacidade 20L</t>
  </si>
  <si>
    <t>Valor da cotação de mercado</t>
  </si>
  <si>
    <t>MÁQUINA DE SOLDA INVERSORA PORTÁTIL ; QUE OPERE EM REDES 110V E 220V. DEVE ACOMPANHAR UMA ALÇA PARA TRANSPORTÁ-LA NOS OMBROS. O EQUIPAMENTO DEVE APRESENTAR SENSOR CONTRA SOBRE-AQUECIMENTO. DEVE APRESENTAR A POSSIBILIDADE DE SOLDAGEM COM OS ELETRODOS DE DIAMETROS ATÉ 3,25MM.
DEVE SER ACOMPANHADO DE UM(1) CONJUNTO PORTA ELETRODOS (CABO COM CONECTOR RÁPIDO DE NO MÍNIMO 2,5M E PORTA-ELETRODO) E UM(1) CONJUNTO GARRA OBRA (CABO COM CONECTOR RÁPIDO DE NO MÍNIMO 2M E GARRA NEGATIVA). NÃO DEVE ULTRAPASSAR O PESO DE 10,0 Kg.</t>
  </si>
  <si>
    <t>MATERIAIS DE JARDINAGEM</t>
  </si>
  <si>
    <t>Unid.</t>
  </si>
  <si>
    <t>Quant.</t>
  </si>
  <si>
    <t>Valor unitário estimado</t>
  </si>
  <si>
    <t>Valor total estimado</t>
  </si>
  <si>
    <t>Valor mensal estimado</t>
  </si>
  <si>
    <t>Enxada - Olho soldado utilizada em trabalhos de jardinagem, construção civil e agricultura, forjada em aço-carbono, temperada em todo o corpo da peça, comprimento do corte 28 a 30 cm</t>
  </si>
  <si>
    <t>UNID</t>
  </si>
  <si>
    <t>Facão, material lâmina aço, material cabo madeira, 18 polegadas, tipo para mato</t>
  </si>
  <si>
    <t>Pá, material cabo madeira, aplicação jardinagem, material aço carbono, formato de bico, tamanho 320 x 270 mm, características adicionais terminal D em plástico, pintura eletrostática a pó</t>
  </si>
  <si>
    <t>Pá, material cabo madeira, aplicação jardinagem, material ferro, tamanho pequeno</t>
  </si>
  <si>
    <t>Ancinho/Rastelo para jardinagem, em cabo-material chapa ferro, quantidade de dentes 16, altura dentes 430 mm, largura total 38mm, espessura dos dentes 3,50mm, altura do cabo 145 a 150cm.</t>
  </si>
  <si>
    <t>Sacho, material sacho aço, material cabo madeira, acabamento sacho pintura eletrostática, cor sacho laranja, formato coração, quantidade pontas 1, comprimento cabo 43, comprimento sacho 267, largura sacho 95, peso 450, aplicação jardinagem</t>
  </si>
  <si>
    <t>Tesoura de Jardim, Cabos com amortecedor de borracha, porca dentada para ajuste preciso da folga entre a lâmina e contra-lâmina, lâmina com cortador de arame e contra-lâmina com raspador e contra-lâmina parafusada, comprimento 210 mm e peso de 245gr.</t>
  </si>
  <si>
    <t>Mangueira flexível e de fácil manuseio- Possui 30 metros de comprimento- Recomendada para situações de uso com pressão da àgua de até 12bar (174 psi) e temperatura de até 50°C- para maior resisteência possuir 3 camadas destintas: interna em PVC- Iintermediária em fio de poliéster trançado e externa em PVC</t>
  </si>
  <si>
    <t>Fio de  nylon-Alta resistência e qualidade- Utilizado como reposição para carretel de roçadeira- Modelo quadrado-Espessura 3 mm comprimento 12 metros</t>
  </si>
  <si>
    <t>Torneira pvc preta com bico para mangueira com adaptador de 3/4 para 1/2</t>
  </si>
  <si>
    <t>Aspersor estca AE 25- 25cm -Para irrigação com ponta de metal- cano injetado - conjunto superior giratório  e haste de alumínio</t>
  </si>
  <si>
    <t>MATERIAIS DE LAVANDERIA</t>
  </si>
  <si>
    <t>ALVEJANTE - concentrado a base de peróxido de hidrogênio de no mínimo 15% de teor de matéria prima para lavagem de roupas com alto índice de gordura para promover uma remoção eficiente de manchas e desinfecção.</t>
  </si>
  <si>
    <t>Litro</t>
  </si>
  <si>
    <t xml:space="preserve">AMACIANTE DE ROUPA - Produto líquido utilizado para amaciar roupas  com associação de dois tensoativos catiônicos a base de sais de quartenário de amônio que deixa as fibras e felpas sensivelmente macias e desembaraçadas, além de agradável aroma, além de reduzir a atração estática em tecidos naturais e sintéticos, acelerando eficazmente o tempo de extração de água e secagem. </t>
  </si>
  <si>
    <t xml:space="preserve">DETERGENTE - Para pré lavagem de roupa, sem cloro. Alcalino com especial agente anti-redepositante e alto desempenho nos processos frio ou quente que ajusta a exata e necessária alcalinidade aos banhos da pré-lavagem e lavagem compatível com a intensidade da sujidade a ser removida  </t>
  </si>
  <si>
    <t>DETERGENTE - Com agentes enzimáticos para manter as roupas brancas e as coloridas mais vivas e brilhantes com um alto nível de alvejantes ópticos.</t>
  </si>
  <si>
    <t>NEUTRALIZANTE - De alcalinidade que possibilite o ajuste do pH das roupas.</t>
  </si>
  <si>
    <t>REMOVEDOR DE FERRUGEM - específico para tecidos e roupas</t>
  </si>
  <si>
    <t>SACO DE POLIETILENO de alta densidade, capacidade para 12kg, em bobina picotada, com 500 unidades. Dimensão: 40cmX60cm. Cor transparente.</t>
  </si>
  <si>
    <t>Rolo</t>
  </si>
  <si>
    <t>MATERIAIS DE MANUTENÇÃO</t>
  </si>
  <si>
    <t>ALICATE UNIVERSAL, FABRICADO EM AÇO CROMO VANÁDIO, COM CABOS EMBORRACHADOS. TAMANHO: 8 POLEGADAS.</t>
  </si>
  <si>
    <t>DISCO PARA CORTE FINO PARA AÇO INOXIDAVEL , CORPO REFORÇADO COM TELAS DE FIBRA DE VIDRO, UTILIZADO JUNTAMENTE COM ESMERILHADEIRAS NAS DIMENSÕES: DIÂMETRO 7", FURO 7/8".</t>
  </si>
  <si>
    <t>DISCO PARA DESBASTE EM AÇO E MATERIAIS FERROSOS, REFORÇADO COM TELA DE FIBRA DE VIDRO, UTILIZADO JUNTAMENTE COM ESMERILHADEIRAS NAS DIMENSÕES: DIÂMETRO 7", FURO 7/8".</t>
  </si>
  <si>
    <t>JOGO DE CHAVE TIPO CANHÃO, COM HASTE FABRICADA EM AÇO CROMO VANÁDIO. CABO FABRICADO EM PVC RÍGIDO 12 PEÇAS</t>
  </si>
  <si>
    <t>KIT</t>
  </si>
  <si>
    <t>JOGO DE CHAVES ALLEN FABRICADO EM AÇO CROMO VANÁDIO 8 PEÇAS, MEDIDAS EM POLEGADAS.</t>
  </si>
  <si>
    <t>JOGO DE CHAVES DE FENDA 6 PEÇAS LINHA PROFISSIONAL</t>
  </si>
  <si>
    <t>JOGO DE CHAVES TORX TIPO CANIVETE - 8 PEÇAS</t>
  </si>
  <si>
    <t>LANTERNA TIPO HOLOFOTE RECARREGÁVEL</t>
  </si>
  <si>
    <t>ROLO DE TINTA 0,6 X 9cm</t>
  </si>
  <si>
    <t>FITA VEDA ROSCA 18mm x 50m</t>
  </si>
  <si>
    <t>FITA ISOLANTE PRETA 20m</t>
  </si>
  <si>
    <t>ESTILETE PROFISSIONAL COM OITO LAMINAS DE 18MM E CABO EMBORRACHADO QUE PROPORCIONA MELHOR FIRMEZA DURANTE O MANUSEIO, COMPARTIMENTO PARA LAMINAS RESERVAS, RECARGA AUTOMATICA.</t>
  </si>
  <si>
    <t>ELETRODOS PARA SOLDAR AÇO INOX 308L  DE 2,5MM DE DIÂMETRO EM CAIXAS DE 2KG.</t>
  </si>
  <si>
    <t>CX</t>
  </si>
  <si>
    <t>ELETRODOS E6013  DE 2,5MM DE  PARA SOLDAR AÇO CARBONO EM CAIXAS DE 5KG.</t>
  </si>
  <si>
    <t>FITA ISOLANTE DE AUTOFUSÃO PRETA</t>
  </si>
  <si>
    <t>TRENA MÉTRICA DE 10 METROS</t>
  </si>
  <si>
    <t>MARTELO, TIPO UNHA, 27MM, CABO EM MADEIRA POLIDA E ENVERNIZADA E CABEÇA FORJADA E TEMPERADA EM AÇO ESPECIAL</t>
  </si>
  <si>
    <t>UND</t>
  </si>
  <si>
    <t>APURAÇÃO</t>
  </si>
  <si>
    <t>MENSAL</t>
  </si>
  <si>
    <t>ANUAL</t>
  </si>
  <si>
    <t>MATERIAIS</t>
  </si>
  <si>
    <t>VALOR ESTIMADO DOS MATERIAIS PARA LAVANDERIA</t>
  </si>
  <si>
    <t>VALOR ESTIMADO DOS MATERIAIS DE MANUTENÇÃO</t>
  </si>
  <si>
    <t>VALOR ESTIMADO DOS MATERIAIS DE JARDINAGEM</t>
  </si>
  <si>
    <t>VALOR ESTIMADO DE MATERIAIS - SUBTOTAL</t>
  </si>
  <si>
    <t>LUCRO (10%)</t>
  </si>
  <si>
    <t>ISS (5%)</t>
  </si>
  <si>
    <t>PIS (1,65%)</t>
  </si>
  <si>
    <t>COFINS (7,60%)</t>
  </si>
  <si>
    <t>VALOR ESTIMADO DE MATERIAIS - TOTAL GERAL</t>
  </si>
  <si>
    <t>COLHER DE PEDREIRO 10 POLEGADAS LINHA PROFISSIONAL</t>
  </si>
  <si>
    <t>JOGO DE BROCAS DE WÍDEA EM AÇO CARBONO COM 8 PEÇAS (3 A 10 MM)</t>
  </si>
  <si>
    <t>JOGO DE CHAVES PHILIPS 6 PEÇAS LINHA PROFISSIONAL</t>
  </si>
  <si>
    <t>PINCÉIS DE TINTA 2"</t>
  </si>
  <si>
    <t>ROLO DE TINTA 0,6 X 9CM</t>
  </si>
  <si>
    <t>FITA VEDA ROSCA 18MM X 50M</t>
  </si>
  <si>
    <t>FITA ISOLANTE PRETA 20M</t>
  </si>
  <si>
    <t>ESTILETE PROFISSIONAL COM OITO LÂMINAS DE 18MM E CABO EMBORRACHADO QUE PROPORCIONA MELHOR FIRMEZA DURANTE O MANUSEIO, COMPARTIMENTO PARA LAMINAS RESERVAS, RECARGA AUTOMÁTICA</t>
  </si>
  <si>
    <t>FERRO DE SOLDA 70W, 220V, COM PONTEIRA E HASTE METÁLICAS E CABO ELÉTRICO MEDINDO 1 METRO</t>
  </si>
  <si>
    <t>ALICATE DE PRESSÃO 10”. POSSUI MORDENTES EM AÇO CROMO VANÁDIO COM PERFIL CURVO. ACABAMENTO CROMADO. ABERTURA REGULÁVEL E ALAVANCA PARA DESTRAVAR.</t>
  </si>
  <si>
    <t>ALICATE REBITADOR MANUAL COM 4 PONTAS: 3/32, 1/8, 5/32 E 3/16.</t>
  </si>
  <si>
    <t>ALICATE BICO FINO E LONGO MEIA CANA 200MM, COM CABO ISOLADO.</t>
  </si>
  <si>
    <t>ARCO DE SERRA 12'' COM CABO PLÁSTICO ERGONÔMICO E DE MATERIAL RESISTENTE E ESTRUTURA EM AÇO CROMADO.</t>
  </si>
  <si>
    <t>CHAVE DE GRIFO 8” MODELO AMERICANO</t>
  </si>
  <si>
    <t>SILICONE DE ALTA TEMPERATURA PROFISSIONAL, COM SISTEMA DE CURA ACÉTICO, TUBO COM 280G, COR VERMELHA.</t>
  </si>
  <si>
    <t>ADESIVO BICOMPONENTE, À BASE DE RESINA EPÓXI, COM ALTO PODER DE ADESÃO. EMBALAGEM CONTENDO DOIS TUBOS, COM 8G CADA (COMPONENTE A – RESINA; E COMPONENTE B - ENDURECEDOR)</t>
  </si>
  <si>
    <t>CUSTOS INDIRETOS (5%)</t>
  </si>
  <si>
    <t>ISS (3,5%)</t>
  </si>
  <si>
    <t>Pá, material cabo madeira, aplicação jardinagem, material aço carbono, formato de bico, tamanho 320 x 270 mm, características adicionais terminal d em plástico, pintura eletrostática a pó</t>
  </si>
  <si>
    <t>1</t>
  </si>
  <si>
    <t>ISS (4%)</t>
  </si>
  <si>
    <r>
      <t>Nota (1)</t>
    </r>
    <r>
      <rPr>
        <sz val="9"/>
        <rFont val="Calibri"/>
        <family val="2"/>
      </rPr>
      <t>:</t>
    </r>
    <r>
      <rPr>
        <b/>
        <sz val="9"/>
        <rFont val="Calibri"/>
        <family val="2"/>
      </rPr>
      <t xml:space="preserve"> </t>
    </r>
    <r>
      <rPr>
        <sz val="9"/>
        <rFont val="Calibri"/>
        <family val="2"/>
      </rPr>
      <t>Esta tabela poderá ser adaptada às características do serviço contratado, inclusive no que</t>
    </r>
    <r>
      <rPr>
        <b/>
        <sz val="9"/>
        <rFont val="Calibri"/>
        <family val="2"/>
      </rPr>
      <t xml:space="preserve"> </t>
    </r>
    <r>
      <rPr>
        <sz val="9"/>
        <rFont val="Calibri"/>
        <family val="2"/>
      </rPr>
      <t>concerne às rubricas e suas respectivas provisões e/ou estimativas, desde que haja justificativa.</t>
    </r>
  </si>
  <si>
    <r>
      <t>Nota (2)</t>
    </r>
    <r>
      <rPr>
        <sz val="9"/>
        <rFont val="Calibri"/>
        <family val="2"/>
      </rPr>
      <t>:</t>
    </r>
    <r>
      <rPr>
        <b/>
        <sz val="9"/>
        <rFont val="Calibri"/>
        <family val="2"/>
      </rPr>
      <t xml:space="preserve"> </t>
    </r>
    <r>
      <rPr>
        <sz val="9"/>
        <rFont val="Calibri"/>
        <family val="2"/>
      </rPr>
      <t>As provisões constantes desta planilha poderão ser desnecessárias quando se tratar de</t>
    </r>
    <r>
      <rPr>
        <b/>
        <sz val="9"/>
        <rFont val="Calibri"/>
        <family val="2"/>
      </rPr>
      <t xml:space="preserve"> </t>
    </r>
    <r>
      <rPr>
        <sz val="9"/>
        <rFont val="Calibri"/>
        <family val="2"/>
      </rPr>
      <t>determinados serviços que prescindam da dedicação exclusiva dos trabalhadores da contratada para com a Administração.</t>
    </r>
  </si>
  <si>
    <t>Tipo de Serviço (mesmo serviço com características distintas):</t>
  </si>
  <si>
    <r>
      <t>Nota (1)</t>
    </r>
    <r>
      <rPr>
        <sz val="9"/>
        <rFont val="Calibri"/>
        <family val="2"/>
      </rPr>
      <t>: Deverá ser elaborado um quadro para cada tipo de serviço.</t>
    </r>
  </si>
  <si>
    <r>
      <t>Nota (2)</t>
    </r>
    <r>
      <rPr>
        <sz val="9"/>
        <rFont val="Calibri"/>
        <family val="2"/>
      </rPr>
      <t>:</t>
    </r>
    <r>
      <rPr>
        <b/>
        <sz val="9"/>
        <rFont val="Calibri"/>
        <family val="2"/>
      </rPr>
      <t xml:space="preserve"> </t>
    </r>
    <r>
      <rPr>
        <sz val="9"/>
        <rFont val="Calibri"/>
        <family val="2"/>
      </rPr>
      <t>A planilha será calculada considerando o</t>
    </r>
    <r>
      <rPr>
        <b/>
        <sz val="9"/>
        <rFont val="Calibri"/>
        <family val="2"/>
      </rPr>
      <t xml:space="preserve"> </t>
    </r>
    <r>
      <rPr>
        <sz val="9"/>
        <rFont val="Calibri"/>
        <family val="2"/>
      </rPr>
      <t>valor mensal do empregado.</t>
    </r>
  </si>
  <si>
    <r>
      <t>Nota (1)</t>
    </r>
    <r>
      <rPr>
        <sz val="9"/>
        <rFont val="Calibri"/>
        <family val="2"/>
      </rPr>
      <t>:</t>
    </r>
    <r>
      <rPr>
        <b/>
        <sz val="9"/>
        <rFont val="Calibri"/>
        <family val="2"/>
      </rPr>
      <t xml:space="preserve"> </t>
    </r>
    <r>
      <rPr>
        <sz val="9"/>
        <rFont val="Calibri"/>
        <family val="2"/>
      </rPr>
      <t>O Módulo 1 refere-se ao</t>
    </r>
    <r>
      <rPr>
        <b/>
        <sz val="9"/>
        <rFont val="Calibri"/>
        <family val="2"/>
      </rPr>
      <t xml:space="preserve"> </t>
    </r>
    <r>
      <rPr>
        <sz val="9"/>
        <rFont val="Calibri"/>
        <family val="2"/>
      </rPr>
      <t>valor mensal devido ao empregado pela prestação do serviço no período de 12 meses.</t>
    </r>
  </si>
  <si>
    <r>
      <t>Nota (2)</t>
    </r>
    <r>
      <rPr>
        <sz val="9"/>
        <rFont val="Calibri"/>
        <family val="2"/>
      </rPr>
      <t>: Para o empregado que labora a jornada 12x36, em caso da não concessão ou concessão parcial do intervalo intrajornada (§ 4º do art. 71 da CLT), o valor a ser pago será inserido na remuneração utilizando a alínea “G”.</t>
    </r>
  </si>
  <si>
    <t>Auxílio-Refeição/Alimentação:</t>
  </si>
  <si>
    <r>
      <t>Nota (1)</t>
    </r>
    <r>
      <rPr>
        <sz val="12"/>
        <rFont val="Calibri"/>
        <family val="2"/>
      </rPr>
      <t>: Os itens que contemplam o módulo 4 se referem ao custo dos dias trabalhados pelo</t>
    </r>
    <r>
      <rPr>
        <b/>
        <sz val="12"/>
        <rFont val="Calibri"/>
        <family val="2"/>
      </rPr>
      <t xml:space="preserve"> </t>
    </r>
    <r>
      <rPr>
        <sz val="12"/>
        <rFont val="Calibri"/>
        <family val="2"/>
      </rPr>
      <t>repositor/substituto que por ventura venha cobrir o empregado nos casos de Ausências Legais (Submódulo 4.1) e/ou na Intrajornada (Submódulo 4.2), a depender da prestação do serviço.</t>
    </r>
  </si>
  <si>
    <r>
      <t>Nota (2)</t>
    </r>
    <r>
      <rPr>
        <sz val="12"/>
        <rFont val="Calibri"/>
        <family val="2"/>
      </rPr>
      <t>:</t>
    </r>
    <r>
      <rPr>
        <b/>
        <sz val="12"/>
        <rFont val="Calibri"/>
        <family val="2"/>
      </rPr>
      <t xml:space="preserve"> </t>
    </r>
    <r>
      <rPr>
        <sz val="12"/>
        <rFont val="Calibri"/>
        <family val="2"/>
      </rPr>
      <t>Haverá a incidência do Submódulo 2.2 sobre esse módulo.</t>
    </r>
  </si>
  <si>
    <t>Ausença por doença</t>
  </si>
  <si>
    <t>Licença-Paternidade:</t>
  </si>
  <si>
    <t>Intervalo para repouso ou alimentação</t>
  </si>
  <si>
    <t>Uniformes:</t>
  </si>
  <si>
    <t>Equipamentos: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</si>
</sst>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3" formatCode="_-* #,##0.00_-;\-* #,##0.00_-;_-* &quot;-&quot;??_-;_-@_-"/>
    <numFmt numFmtId="166" formatCode="&quot;R$&quot;\ #,##0.00;\-&quot;R$&quot;\ #,##0.00"/>
    <numFmt numFmtId="169" formatCode="_-&quot;R$&quot;\ * #,##0.00_-;\-&quot;R$&quot;\ * #,##0.00_-;_-&quot;R$&quot;\ * &quot;-&quot;??_-;_-@_-"/>
    <numFmt numFmtId="171" formatCode="_(* #,##0.00_);_(* \(#,##0.00\);_(* &quot;-&quot;??_);_(@_)"/>
    <numFmt numFmtId="173" formatCode="_(&quot;R$ &quot;* #,##0.00_);_(&quot;R$ &quot;* \(#,##0.00\);_(&quot;R$ &quot;* &quot;-&quot;??_);_(@_)"/>
    <numFmt numFmtId="174" formatCode="#.##0,"/>
    <numFmt numFmtId="175" formatCode="_-[$R$-416]* #,##0.00_-;\-[$R$-416]* #,##0.00_-;_-[$R$-416]* &quot;-&quot;??_-;_-@_-"/>
    <numFmt numFmtId="176" formatCode="&quot;R$&quot;\ #,##0.00"/>
    <numFmt numFmtId="177" formatCode="&quot;R$ &quot;#,##0.00;[Red]&quot;R$ &quot;#,##0.00"/>
    <numFmt numFmtId="178" formatCode="&quot;R$ &quot;#,##0.0000;[Red]&quot;R$ &quot;#,##0.0000"/>
    <numFmt numFmtId="179" formatCode="&quot;R$&quot;\ #,##0.0000"/>
    <numFmt numFmtId="180" formatCode="_(* #,##0.000000_);_(* \(#,##0.000000\);_(* &quot;-&quot;??_);_(@_)"/>
    <numFmt numFmtId="181" formatCode="0.000000"/>
    <numFmt numFmtId="182" formatCode="0.0%"/>
  </numFmts>
  <fonts count="68">
    <font>
      <sz val="10"/>
      <name val="Arial"/>
      <family val="2"/>
    </font>
    <font>
      <b/>
      <sz val="12"/>
      <name val="Calibri"/>
      <family val="2"/>
    </font>
    <font>
      <sz val="12"/>
      <name val="Calibri"/>
      <family val="2"/>
    </font>
    <font>
      <sz val="8"/>
      <name val="Calibri"/>
      <family val="2"/>
    </font>
    <font>
      <b/>
      <sz val="6"/>
      <name val="Calibri"/>
      <family val="2"/>
    </font>
    <font>
      <sz val="6"/>
      <name val="Calibri"/>
      <family val="2"/>
    </font>
    <font>
      <b/>
      <sz val="9"/>
      <name val="Calibri"/>
      <family val="2"/>
    </font>
    <font>
      <b/>
      <sz val="8"/>
      <name val="Calibri"/>
      <family val="2"/>
    </font>
    <font>
      <sz val="9"/>
      <name val="Calibri"/>
      <family val="2"/>
    </font>
    <font>
      <sz val="8"/>
      <name val="Arial"/>
      <family val="2"/>
    </font>
    <font>
      <b/>
      <sz val="8"/>
      <name val="Arial"/>
      <family val="2"/>
    </font>
    <font>
      <b/>
      <sz val="8"/>
      <name val="Arial Narrow"/>
      <family val="2"/>
    </font>
    <font>
      <b/>
      <sz val="10"/>
      <name val="Arial"/>
      <family val="2"/>
    </font>
    <font>
      <sz val="9"/>
      <name val="Arial"/>
      <family val="2"/>
    </font>
    <font>
      <b/>
      <sz val="11"/>
      <name val="Arial Narrow"/>
      <family val="2"/>
    </font>
    <font>
      <sz val="11"/>
      <name val="Arial Narrow"/>
      <family val="2"/>
    </font>
    <font>
      <b/>
      <u/>
      <sz val="11"/>
      <name val="Arial Narrow"/>
      <family val="2"/>
    </font>
    <font>
      <b/>
      <sz val="11"/>
      <color indexed="10"/>
      <name val="Arial Narrow"/>
      <family val="2"/>
    </font>
    <font>
      <sz val="8"/>
      <name val="Arial Narrow"/>
      <family val="2"/>
    </font>
    <font>
      <b/>
      <sz val="12"/>
      <name val="Verdana"/>
      <family val="2"/>
    </font>
    <font>
      <sz val="10"/>
      <name val="Verdana"/>
      <family val="2"/>
    </font>
    <font>
      <sz val="8"/>
      <name val="Verdana"/>
      <family val="2"/>
    </font>
    <font>
      <b/>
      <sz val="10"/>
      <name val="Verdana"/>
      <family val="2"/>
    </font>
    <font>
      <b/>
      <sz val="8"/>
      <name val="Verdana"/>
      <family val="2"/>
    </font>
    <font>
      <b/>
      <sz val="11"/>
      <name val="Verdana"/>
      <family val="2"/>
    </font>
    <font>
      <sz val="11"/>
      <name val="Verdana"/>
      <family val="2"/>
    </font>
    <font>
      <u/>
      <sz val="11"/>
      <name val="Verdana"/>
      <family val="2"/>
    </font>
    <font>
      <b/>
      <sz val="12"/>
      <name val="Times"/>
      <family val="1"/>
    </font>
    <font>
      <b/>
      <sz val="13.5"/>
      <name val="Times"/>
      <family val="1"/>
    </font>
    <font>
      <sz val="8"/>
      <color indexed="8"/>
      <name val="Verdana"/>
      <family val="2"/>
    </font>
    <font>
      <b/>
      <sz val="8"/>
      <color indexed="8"/>
      <name val="Verdana"/>
      <family val="2"/>
    </font>
    <font>
      <sz val="10"/>
      <name val="Arial Narrow"/>
      <family val="2"/>
    </font>
    <font>
      <b/>
      <sz val="10"/>
      <name val="Arial Narrow"/>
      <family val="2"/>
    </font>
    <font>
      <u/>
      <sz val="9"/>
      <name val="Calibri"/>
      <family val="2"/>
    </font>
    <font>
      <u/>
      <sz val="10"/>
      <name val="Verdana"/>
      <family val="2"/>
    </font>
    <font>
      <strike/>
      <sz val="10"/>
      <name val="Verdana"/>
      <family val="2"/>
    </font>
    <font>
      <b/>
      <sz val="9"/>
      <name val="Segoe UI"/>
      <family val="2"/>
    </font>
    <font>
      <sz val="9"/>
      <name val="Segoe UI"/>
      <family val="2"/>
    </font>
    <font>
      <b/>
      <sz val="9"/>
      <name val="Tahoma"/>
      <family val="2"/>
    </font>
    <font>
      <sz val="9"/>
      <name val="Tahoma"/>
      <family val="2"/>
    </font>
    <font>
      <sz val="10"/>
      <name val="Arial"/>
      <family val="2"/>
    </font>
    <font>
      <sz val="11"/>
      <color theme="1"/>
      <name val="Calibri"/>
      <family val="2"/>
      <scheme val="minor"/>
    </font>
    <font>
      <sz val="12"/>
      <name val="Calibri"/>
      <family val="2"/>
      <scheme val="minor"/>
    </font>
    <font>
      <b/>
      <sz val="8"/>
      <color rgb="FF000000"/>
      <name val="Arial"/>
      <family val="2"/>
    </font>
    <font>
      <sz val="8"/>
      <color rgb="FF000000"/>
      <name val="Arial"/>
      <family val="2"/>
    </font>
    <font>
      <sz val="10"/>
      <color rgb="FF000000"/>
      <name val="Arial"/>
      <family val="2"/>
    </font>
    <font>
      <sz val="8"/>
      <color rgb="FF000000"/>
      <name val="Arial1"/>
      <family val="2"/>
    </font>
    <font>
      <b/>
      <sz val="8"/>
      <color theme="0"/>
      <name val="Arial"/>
      <family val="2"/>
    </font>
    <font>
      <b/>
      <sz val="8"/>
      <color theme="1"/>
      <name val="Arial"/>
      <family val="2"/>
    </font>
    <font>
      <b/>
      <sz val="8"/>
      <color theme="0"/>
      <name val="Arial Narrow"/>
      <family val="2"/>
    </font>
    <font>
      <b/>
      <sz val="8"/>
      <color theme="1"/>
      <name val="Arial Narrow"/>
      <family val="2"/>
    </font>
    <font>
      <sz val="8"/>
      <color theme="1"/>
      <name val="Arial"/>
      <family val="2"/>
    </font>
    <font>
      <b/>
      <sz val="9"/>
      <color theme="1"/>
      <name val="Arial"/>
      <family val="2"/>
    </font>
    <font>
      <sz val="10"/>
      <name val="Calibri"/>
      <family val="2"/>
      <scheme val="minor"/>
    </font>
    <font>
      <b/>
      <sz val="12"/>
      <name val="Calibri"/>
      <family val="2"/>
      <scheme val="minor"/>
    </font>
    <font>
      <b/>
      <sz val="9"/>
      <name val="Calibri"/>
      <family val="2"/>
      <scheme val="minor"/>
    </font>
    <font>
      <sz val="11"/>
      <color theme="0"/>
      <name val="Arial Narrow"/>
      <family val="2"/>
    </font>
    <font>
      <sz val="11"/>
      <color theme="1"/>
      <name val="Arial Narrow"/>
      <family val="2"/>
    </font>
    <font>
      <sz val="11"/>
      <color rgb="FFFF0000"/>
      <name val="Arial Narrow"/>
      <family val="2"/>
    </font>
    <font>
      <i/>
      <sz val="11"/>
      <color rgb="FFFF0000"/>
      <name val="Arial Narrow"/>
      <family val="2"/>
    </font>
    <font>
      <b/>
      <sz val="11"/>
      <color theme="0"/>
      <name val="Arial Narrow"/>
      <family val="2"/>
    </font>
    <font>
      <sz val="10"/>
      <color rgb="FFFF0000"/>
      <name val="Verdana"/>
      <family val="2"/>
    </font>
    <font>
      <sz val="10"/>
      <color rgb="FFFF0000"/>
      <name val="Arial"/>
      <family val="2"/>
    </font>
    <font>
      <sz val="10"/>
      <color rgb="FF000000"/>
      <name val="Arial Narrow"/>
      <family val="2"/>
    </font>
    <font>
      <b/>
      <i/>
      <sz val="10"/>
      <color rgb="FF000000"/>
      <name val="Arial Narrow"/>
      <family val="2"/>
    </font>
    <font>
      <b/>
      <sz val="10"/>
      <color rgb="FF000000"/>
      <name val="Arial Narrow"/>
      <family val="2"/>
    </font>
    <font>
      <sz val="12"/>
      <color rgb="FFFF0000"/>
      <name val="Calibri"/>
      <family val="2"/>
    </font>
    <font>
      <sz val="12"/>
      <name val="Cambria"/>
      <family val="1"/>
      <scheme val="major"/>
    </font>
  </fonts>
  <fills count="22">
    <fill>
      <patternFill patternType="none"/>
    </fill>
    <fill>
      <patternFill patternType="gray125"/>
    </fill>
    <fill>
      <patternFill patternType="solid">
        <fgColor indexed="9"/>
        <bgColor indexed="64"/>
      </patternFill>
    </fill>
    <fill>
      <patternFill patternType="solid">
        <fgColor indexed="48"/>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rgb="FFC0C0C0"/>
        <bgColor rgb="FFCCCCFF"/>
      </patternFill>
    </fill>
    <fill>
      <patternFill patternType="solid">
        <fgColor theme="0"/>
        <bgColor rgb="FFFFFFCC"/>
      </patternFill>
    </fill>
    <fill>
      <patternFill patternType="solid">
        <fgColor theme="0"/>
        <bgColor indexed="64"/>
      </patternFill>
    </fill>
    <fill>
      <patternFill patternType="solid">
        <fgColor theme="8" tint="0.39997558519241921"/>
        <bgColor rgb="FFFFFFCC"/>
      </patternFill>
    </fill>
    <fill>
      <patternFill patternType="solid">
        <fgColor theme="0"/>
        <bgColor rgb="FFCCCCFF"/>
      </patternFill>
    </fill>
    <fill>
      <patternFill patternType="solid">
        <fgColor theme="2" tint="-0.49998474074526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249977111117893"/>
        <bgColor indexed="64"/>
      </patternFill>
    </fill>
    <fill>
      <patternFill patternType="solid">
        <fgColor rgb="FFFFFFFF"/>
        <bgColor indexed="64"/>
      </patternFill>
    </fill>
    <fill>
      <patternFill patternType="solid">
        <fgColor rgb="FF7F7F7F"/>
        <bgColor indexed="64"/>
      </patternFill>
    </fill>
  </fills>
  <borders count="7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8"/>
      </left>
      <right/>
      <top style="medium">
        <color indexed="8"/>
      </top>
      <bottom/>
      <diagonal/>
    </border>
    <border>
      <left/>
      <right style="medium">
        <color indexed="8"/>
      </right>
      <top style="medium">
        <color indexed="8"/>
      </top>
      <bottom/>
      <diagonal/>
    </border>
    <border>
      <left style="medium">
        <color indexed="8"/>
      </left>
      <right style="medium">
        <color indexed="8"/>
      </right>
      <top style="medium">
        <color indexed="8"/>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style="medium">
        <color indexed="8"/>
      </right>
      <top style="medium">
        <color indexed="8"/>
      </top>
      <bottom style="medium">
        <color indexed="8"/>
      </bottom>
      <diagonal/>
    </border>
    <border>
      <left style="thin">
        <color indexed="64"/>
      </left>
      <right style="medium">
        <color indexed="64"/>
      </right>
      <top style="thin">
        <color indexed="64"/>
      </top>
      <bottom style="thin">
        <color indexed="64"/>
      </bottom>
      <diagonal/>
    </border>
    <border>
      <left/>
      <right style="medium">
        <color indexed="8"/>
      </right>
      <top style="medium">
        <color indexed="8"/>
      </top>
      <bottom style="medium">
        <color indexed="8"/>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top/>
      <bottom style="medium">
        <color indexed="8"/>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8"/>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s>
  <cellStyleXfs count="10">
    <xf numFmtId="0" fontId="0" fillId="0" borderId="0"/>
    <xf numFmtId="173" fontId="40" fillId="0" borderId="0" applyFont="0" applyFill="0" applyBorder="0" applyAlignment="0" applyProtection="0"/>
    <xf numFmtId="174" fontId="40" fillId="0" borderId="0" applyFont="0" applyFill="0" applyBorder="0" applyAlignment="0" applyProtection="0"/>
    <xf numFmtId="174" fontId="40" fillId="0" borderId="0" applyFont="0" applyFill="0" applyBorder="0" applyAlignment="0" applyProtection="0"/>
    <xf numFmtId="0" fontId="41" fillId="0" borderId="0"/>
    <xf numFmtId="0" fontId="40" fillId="0" borderId="0"/>
    <xf numFmtId="0" fontId="40" fillId="0" borderId="0"/>
    <xf numFmtId="9" fontId="40" fillId="0" borderId="0" applyFont="0" applyFill="0" applyBorder="0" applyAlignment="0" applyProtection="0"/>
    <xf numFmtId="171" fontId="40" fillId="0" borderId="0" applyFont="0" applyFill="0" applyBorder="0" applyAlignment="0" applyProtection="0"/>
    <xf numFmtId="171" fontId="40" fillId="0" borderId="0" applyFont="0" applyFill="0" applyBorder="0" applyAlignment="0" applyProtection="0"/>
  </cellStyleXfs>
  <cellXfs count="850">
    <xf numFmtId="0" fontId="0" fillId="0" borderId="0" xfId="0"/>
    <xf numFmtId="0" fontId="0" fillId="0" borderId="0" xfId="0" applyAlignment="1">
      <alignment horizontal="center"/>
    </xf>
    <xf numFmtId="0" fontId="1" fillId="0" borderId="0" xfId="0" applyFont="1" applyAlignment="1">
      <alignment horizontal="center" vertical="center"/>
    </xf>
    <xf numFmtId="0" fontId="0" fillId="0" borderId="0" xfId="0" applyAlignment="1">
      <alignment vertical="center"/>
    </xf>
    <xf numFmtId="0" fontId="3" fillId="0" borderId="0" xfId="0" applyFont="1" applyAlignment="1">
      <alignment vertical="center"/>
    </xf>
    <xf numFmtId="0" fontId="4" fillId="0" borderId="0" xfId="0" applyFont="1" applyAlignment="1">
      <alignmen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5" fillId="0" borderId="0" xfId="0" applyFont="1" applyAlignment="1">
      <alignment vertical="center"/>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7" fillId="0" borderId="0" xfId="0" applyFont="1" applyAlignment="1">
      <alignment horizontal="center" vertical="center"/>
    </xf>
    <xf numFmtId="0" fontId="1" fillId="0" borderId="2" xfId="0" applyFont="1" applyBorder="1" applyAlignment="1">
      <alignment horizontal="center" vertical="center" wrapText="1"/>
    </xf>
    <xf numFmtId="0" fontId="0" fillId="0" borderId="0" xfId="0" applyAlignment="1">
      <alignment horizontal="center" vertical="center"/>
    </xf>
    <xf numFmtId="0" fontId="2" fillId="0" borderId="5" xfId="0" applyFont="1" applyBorder="1" applyAlignment="1">
      <alignment horizontal="center" vertical="center" wrapText="1"/>
    </xf>
    <xf numFmtId="0" fontId="7" fillId="0" borderId="0" xfId="0" applyFont="1" applyAlignment="1">
      <alignment vertical="center"/>
    </xf>
    <xf numFmtId="0" fontId="8" fillId="0" borderId="0" xfId="0" applyFont="1" applyAlignment="1">
      <alignment horizontal="left" vertical="center"/>
    </xf>
    <xf numFmtId="175" fontId="42" fillId="0" borderId="6" xfId="1" applyNumberFormat="1" applyFont="1" applyBorder="1" applyAlignment="1">
      <alignment horizontal="right" vertical="center"/>
    </xf>
    <xf numFmtId="175" fontId="42" fillId="0" borderId="7" xfId="1" applyNumberFormat="1" applyFont="1" applyBorder="1" applyAlignment="1">
      <alignment horizontal="right" vertical="center"/>
    </xf>
    <xf numFmtId="175" fontId="42" fillId="0" borderId="8" xfId="1" applyNumberFormat="1" applyFont="1" applyBorder="1" applyAlignment="1">
      <alignment horizontal="right" vertical="center"/>
    </xf>
    <xf numFmtId="0" fontId="1" fillId="0" borderId="5" xfId="0" applyFont="1" applyBorder="1" applyAlignment="1">
      <alignment horizontal="center" vertical="center" wrapText="1"/>
    </xf>
    <xf numFmtId="0" fontId="2" fillId="0" borderId="0" xfId="0" applyFont="1" applyAlignment="1">
      <alignment vertical="center"/>
    </xf>
    <xf numFmtId="0" fontId="1" fillId="0" borderId="1" xfId="0" applyFont="1" applyBorder="1" applyAlignment="1">
      <alignment horizontal="center" vertical="center" wrapText="1"/>
    </xf>
    <xf numFmtId="169" fontId="1" fillId="0" borderId="7" xfId="1" applyNumberFormat="1" applyFont="1" applyBorder="1" applyAlignment="1">
      <alignment horizontal="left" vertical="center" wrapText="1"/>
    </xf>
    <xf numFmtId="169" fontId="1" fillId="0" borderId="8" xfId="1" applyNumberFormat="1" applyFont="1" applyBorder="1" applyAlignment="1">
      <alignment horizontal="left" vertical="center" wrapText="1"/>
    </xf>
    <xf numFmtId="10" fontId="0" fillId="0" borderId="0" xfId="0" applyNumberFormat="1"/>
    <xf numFmtId="0" fontId="1" fillId="0" borderId="9" xfId="0" applyFont="1" applyBorder="1" applyAlignment="1">
      <alignment horizontal="center" vertical="center" wrapText="1"/>
    </xf>
    <xf numFmtId="0" fontId="6" fillId="0" borderId="0" xfId="0" applyFont="1" applyBorder="1" applyAlignment="1">
      <alignment horizontal="center" vertical="center"/>
    </xf>
    <xf numFmtId="175" fontId="1" fillId="0" borderId="0" xfId="1" applyNumberFormat="1" applyFont="1" applyBorder="1" applyAlignment="1">
      <alignment horizontal="center" vertical="center" wrapText="1"/>
    </xf>
    <xf numFmtId="176" fontId="1" fillId="0" borderId="1" xfId="1" applyNumberFormat="1" applyFont="1" applyBorder="1" applyAlignment="1">
      <alignment horizontal="center" vertical="center" wrapText="1"/>
    </xf>
    <xf numFmtId="175" fontId="1" fillId="0" borderId="9" xfId="1" applyNumberFormat="1" applyFont="1" applyBorder="1" applyAlignment="1">
      <alignment horizontal="center" vertical="center" wrapText="1"/>
    </xf>
    <xf numFmtId="0" fontId="9" fillId="0" borderId="0" xfId="0" applyFont="1"/>
    <xf numFmtId="0" fontId="43" fillId="10" borderId="10" xfId="0" applyFont="1" applyFill="1" applyBorder="1" applyAlignment="1">
      <alignment horizontal="center" vertical="center" textRotation="90" wrapText="1"/>
    </xf>
    <xf numFmtId="0" fontId="43" fillId="10" borderId="10" xfId="0" applyFont="1" applyFill="1" applyBorder="1" applyAlignment="1">
      <alignment horizontal="center" vertical="center" wrapText="1"/>
    </xf>
    <xf numFmtId="0" fontId="9" fillId="7" borderId="10" xfId="0" applyFont="1" applyFill="1" applyBorder="1" applyAlignment="1">
      <alignment horizontal="center" vertical="center" wrapText="1"/>
    </xf>
    <xf numFmtId="0" fontId="44" fillId="7" borderId="10" xfId="0" applyFont="1" applyFill="1" applyBorder="1" applyAlignment="1">
      <alignment horizontal="center" vertical="center"/>
    </xf>
    <xf numFmtId="177" fontId="44" fillId="7" borderId="11" xfId="0" applyNumberFormat="1" applyFont="1" applyFill="1" applyBorder="1" applyAlignment="1">
      <alignment horizontal="center" vertical="center" wrapText="1"/>
    </xf>
    <xf numFmtId="177" fontId="44" fillId="7" borderId="10" xfId="0" applyNumberFormat="1" applyFont="1" applyFill="1" applyBorder="1" applyAlignment="1">
      <alignment horizontal="center" vertical="center"/>
    </xf>
    <xf numFmtId="0" fontId="9" fillId="0" borderId="0" xfId="0" applyFont="1" applyBorder="1"/>
    <xf numFmtId="177" fontId="45" fillId="11" borderId="0" xfId="0" applyNumberFormat="1" applyFont="1" applyFill="1" applyBorder="1" applyAlignment="1">
      <alignment horizontal="center" vertical="center" wrapText="1"/>
    </xf>
    <xf numFmtId="0" fontId="44" fillId="7" borderId="10" xfId="0" applyFont="1" applyFill="1" applyBorder="1" applyAlignment="1">
      <alignment horizontal="center" vertical="center" wrapText="1"/>
    </xf>
    <xf numFmtId="177" fontId="44" fillId="7" borderId="12" xfId="0" applyNumberFormat="1" applyFont="1" applyFill="1" applyBorder="1" applyAlignment="1">
      <alignment horizontal="center" vertical="center" wrapText="1"/>
    </xf>
    <xf numFmtId="177" fontId="44" fillId="7" borderId="10" xfId="0" applyNumberFormat="1" applyFont="1" applyFill="1" applyBorder="1" applyAlignment="1">
      <alignment horizontal="center" vertical="center" wrapText="1"/>
    </xf>
    <xf numFmtId="0" fontId="10" fillId="12" borderId="0" xfId="0" applyFont="1" applyFill="1" applyBorder="1" applyAlignment="1">
      <alignment horizontal="center" vertical="center"/>
    </xf>
    <xf numFmtId="176" fontId="10" fillId="7" borderId="10" xfId="0" applyNumberFormat="1" applyFont="1" applyFill="1" applyBorder="1" applyAlignment="1">
      <alignment horizontal="center" vertical="center"/>
    </xf>
    <xf numFmtId="177" fontId="10" fillId="7" borderId="10" xfId="0" applyNumberFormat="1" applyFont="1" applyFill="1" applyBorder="1" applyAlignment="1">
      <alignment horizontal="center" vertical="center"/>
    </xf>
    <xf numFmtId="178" fontId="9" fillId="0" borderId="0" xfId="0" applyNumberFormat="1" applyFont="1"/>
    <xf numFmtId="178" fontId="43" fillId="10" borderId="10" xfId="0" applyNumberFormat="1" applyFont="1" applyFill="1" applyBorder="1" applyAlignment="1">
      <alignment horizontal="center" vertical="center" wrapText="1"/>
    </xf>
    <xf numFmtId="0" fontId="44" fillId="9" borderId="10" xfId="0" applyFont="1" applyFill="1" applyBorder="1" applyAlignment="1">
      <alignment horizontal="center" wrapText="1"/>
    </xf>
    <xf numFmtId="0" fontId="44" fillId="9" borderId="10" xfId="0" applyFont="1" applyFill="1" applyBorder="1" applyAlignment="1">
      <alignment horizontal="center" vertical="center"/>
    </xf>
    <xf numFmtId="176" fontId="9" fillId="9" borderId="10" xfId="0" applyNumberFormat="1" applyFont="1" applyFill="1" applyBorder="1" applyAlignment="1">
      <alignment horizontal="center" vertical="center"/>
    </xf>
    <xf numFmtId="177" fontId="44" fillId="9" borderId="10" xfId="0" applyNumberFormat="1" applyFont="1" applyFill="1" applyBorder="1" applyAlignment="1">
      <alignment horizontal="center" vertical="center"/>
    </xf>
    <xf numFmtId="177" fontId="44" fillId="13" borderId="10" xfId="0" applyNumberFormat="1" applyFont="1" applyFill="1" applyBorder="1" applyAlignment="1">
      <alignment horizontal="center" vertical="center" wrapText="1"/>
    </xf>
    <xf numFmtId="0" fontId="43" fillId="14" borderId="0" xfId="0" applyFont="1" applyFill="1" applyBorder="1" applyAlignment="1">
      <alignment vertical="center" textRotation="90" wrapText="1"/>
    </xf>
    <xf numFmtId="176" fontId="10" fillId="9" borderId="10" xfId="0" applyNumberFormat="1" applyFont="1" applyFill="1" applyBorder="1" applyAlignment="1">
      <alignment horizontal="center" vertical="center"/>
    </xf>
    <xf numFmtId="177" fontId="10" fillId="9" borderId="10" xfId="0" applyNumberFormat="1" applyFont="1" applyFill="1" applyBorder="1" applyAlignment="1">
      <alignment horizontal="center" vertical="center"/>
    </xf>
    <xf numFmtId="0" fontId="44" fillId="12" borderId="0" xfId="0" applyFont="1" applyFill="1" applyBorder="1" applyAlignment="1">
      <alignment horizontal="center" vertical="center" wrapText="1"/>
    </xf>
    <xf numFmtId="0" fontId="9" fillId="12" borderId="0" xfId="0" applyFont="1" applyFill="1" applyBorder="1" applyAlignment="1">
      <alignment horizontal="center" vertical="center" wrapText="1"/>
    </xf>
    <xf numFmtId="0" fontId="44" fillId="8" borderId="10" xfId="0" applyFont="1" applyFill="1" applyBorder="1" applyAlignment="1">
      <alignment horizontal="center" vertical="center" wrapText="1"/>
    </xf>
    <xf numFmtId="0" fontId="44" fillId="8" borderId="66" xfId="0" applyFont="1" applyFill="1" applyBorder="1" applyAlignment="1">
      <alignment horizontal="center" vertical="center"/>
    </xf>
    <xf numFmtId="0" fontId="44" fillId="8" borderId="67" xfId="0" applyFont="1" applyFill="1" applyBorder="1" applyAlignment="1">
      <alignment horizontal="center" vertical="center"/>
    </xf>
    <xf numFmtId="177" fontId="44" fillId="8" borderId="10" xfId="0" applyNumberFormat="1" applyFont="1" applyFill="1" applyBorder="1" applyAlignment="1">
      <alignment horizontal="center" vertical="center" wrapText="1"/>
    </xf>
    <xf numFmtId="176" fontId="9" fillId="8" borderId="10" xfId="0" applyNumberFormat="1" applyFont="1" applyFill="1" applyBorder="1" applyAlignment="1">
      <alignment horizontal="center" vertical="center"/>
    </xf>
    <xf numFmtId="177" fontId="9" fillId="8" borderId="10" xfId="0" applyNumberFormat="1" applyFont="1" applyFill="1" applyBorder="1" applyAlignment="1">
      <alignment horizontal="center" vertical="center"/>
    </xf>
    <xf numFmtId="0" fontId="9" fillId="8" borderId="10" xfId="0" applyFont="1" applyFill="1" applyBorder="1" applyAlignment="1">
      <alignment horizontal="center" vertical="center" wrapText="1"/>
    </xf>
    <xf numFmtId="0" fontId="46" fillId="8" borderId="68" xfId="0" applyFont="1" applyFill="1" applyBorder="1" applyAlignment="1">
      <alignment horizontal="center" vertical="center"/>
    </xf>
    <xf numFmtId="0" fontId="46" fillId="8" borderId="69" xfId="0" applyFont="1" applyFill="1" applyBorder="1" applyAlignment="1">
      <alignment horizontal="center" vertical="center"/>
    </xf>
    <xf numFmtId="0" fontId="9" fillId="8" borderId="10" xfId="0" applyFont="1" applyFill="1" applyBorder="1" applyAlignment="1">
      <alignment horizontal="center" vertical="center"/>
    </xf>
    <xf numFmtId="0" fontId="44" fillId="8" borderId="10" xfId="0" applyFont="1" applyFill="1" applyBorder="1" applyAlignment="1">
      <alignment horizontal="center" vertical="center"/>
    </xf>
    <xf numFmtId="0" fontId="47" fillId="12" borderId="0" xfId="0" applyFont="1" applyFill="1" applyBorder="1" applyAlignment="1">
      <alignment horizontal="center"/>
    </xf>
    <xf numFmtId="176" fontId="10" fillId="8" borderId="10" xfId="0" applyNumberFormat="1" applyFont="1" applyFill="1" applyBorder="1" applyAlignment="1">
      <alignment horizontal="center" vertical="center"/>
    </xf>
    <xf numFmtId="177" fontId="10" fillId="8" borderId="10" xfId="0" applyNumberFormat="1" applyFont="1" applyFill="1" applyBorder="1" applyAlignment="1">
      <alignment horizontal="center" vertical="center"/>
    </xf>
    <xf numFmtId="0" fontId="48" fillId="12" borderId="0" xfId="0" applyFont="1" applyFill="1" applyBorder="1" applyAlignment="1">
      <alignment horizontal="center"/>
    </xf>
    <xf numFmtId="166" fontId="10" fillId="12" borderId="0" xfId="0" applyNumberFormat="1" applyFont="1" applyFill="1" applyBorder="1" applyAlignment="1">
      <alignment horizontal="center"/>
    </xf>
    <xf numFmtId="0" fontId="49" fillId="15" borderId="1" xfId="0" applyFont="1" applyFill="1" applyBorder="1" applyAlignment="1">
      <alignment horizontal="center"/>
    </xf>
    <xf numFmtId="0" fontId="49" fillId="15" borderId="13" xfId="0" applyFont="1" applyFill="1" applyBorder="1" applyAlignment="1">
      <alignment horizontal="center"/>
    </xf>
    <xf numFmtId="0" fontId="49" fillId="15" borderId="14" xfId="0" applyFont="1" applyFill="1" applyBorder="1" applyAlignment="1">
      <alignment horizontal="center"/>
    </xf>
    <xf numFmtId="0" fontId="50" fillId="0" borderId="3" xfId="0" applyFont="1" applyBorder="1" applyAlignment="1">
      <alignment horizontal="center"/>
    </xf>
    <xf numFmtId="0" fontId="49" fillId="12" borderId="0" xfId="0" applyFont="1" applyFill="1" applyBorder="1" applyAlignment="1">
      <alignment horizontal="center"/>
    </xf>
    <xf numFmtId="0" fontId="49" fillId="12" borderId="15" xfId="0" applyFont="1" applyFill="1" applyBorder="1" applyAlignment="1">
      <alignment horizontal="center"/>
    </xf>
    <xf numFmtId="0" fontId="50" fillId="0" borderId="6" xfId="0" applyFont="1" applyBorder="1" applyAlignment="1">
      <alignment horizontal="center"/>
    </xf>
    <xf numFmtId="166" fontId="11" fillId="0" borderId="6" xfId="0" applyNumberFormat="1" applyFont="1" applyBorder="1" applyAlignment="1">
      <alignment horizontal="center"/>
    </xf>
    <xf numFmtId="166" fontId="11" fillId="0" borderId="8" xfId="0" applyNumberFormat="1" applyFont="1" applyBorder="1" applyAlignment="1">
      <alignment horizontal="center"/>
    </xf>
    <xf numFmtId="166" fontId="11" fillId="0" borderId="16" xfId="0" applyNumberFormat="1" applyFont="1" applyBorder="1" applyAlignment="1">
      <alignment horizontal="center"/>
    </xf>
    <xf numFmtId="166" fontId="11" fillId="0" borderId="17" xfId="0" applyNumberFormat="1" applyFont="1" applyBorder="1" applyAlignment="1">
      <alignment horizontal="center"/>
    </xf>
    <xf numFmtId="0" fontId="50" fillId="0" borderId="18" xfId="0" applyFont="1" applyBorder="1" applyAlignment="1">
      <alignment horizontal="center"/>
    </xf>
    <xf numFmtId="166" fontId="11" fillId="0" borderId="19" xfId="0" applyNumberFormat="1" applyFont="1" applyBorder="1" applyAlignment="1">
      <alignment horizontal="center"/>
    </xf>
    <xf numFmtId="166" fontId="11" fillId="0" borderId="20" xfId="0" applyNumberFormat="1" applyFont="1" applyBorder="1" applyAlignment="1">
      <alignment horizontal="center"/>
    </xf>
    <xf numFmtId="0" fontId="50" fillId="16" borderId="21" xfId="0" applyFont="1" applyFill="1" applyBorder="1" applyAlignment="1">
      <alignment horizontal="center"/>
    </xf>
    <xf numFmtId="166" fontId="11" fillId="16" borderId="22" xfId="0" applyNumberFormat="1" applyFont="1" applyFill="1" applyBorder="1" applyAlignment="1">
      <alignment horizontal="center"/>
    </xf>
    <xf numFmtId="166" fontId="11" fillId="16" borderId="23" xfId="0" applyNumberFormat="1" applyFont="1" applyFill="1" applyBorder="1" applyAlignment="1">
      <alignment horizontal="center"/>
    </xf>
    <xf numFmtId="179" fontId="9" fillId="0" borderId="0" xfId="0" applyNumberFormat="1" applyFont="1"/>
    <xf numFmtId="179" fontId="43" fillId="10" borderId="10" xfId="0" applyNumberFormat="1" applyFont="1" applyFill="1" applyBorder="1" applyAlignment="1">
      <alignment horizontal="center" vertical="center" wrapText="1"/>
    </xf>
    <xf numFmtId="0" fontId="44" fillId="9" borderId="10" xfId="0" applyFont="1" applyFill="1" applyBorder="1" applyAlignment="1">
      <alignment horizontal="center" vertical="center" wrapText="1"/>
    </xf>
    <xf numFmtId="176" fontId="44" fillId="13" borderId="10" xfId="0" applyNumberFormat="1" applyFont="1" applyFill="1" applyBorder="1" applyAlignment="1">
      <alignment horizontal="center" vertical="center" wrapText="1"/>
    </xf>
    <xf numFmtId="177" fontId="44" fillId="7" borderId="10" xfId="8" applyNumberFormat="1" applyFont="1" applyFill="1" applyBorder="1" applyAlignment="1">
      <alignment horizontal="center" vertical="center"/>
    </xf>
    <xf numFmtId="0" fontId="9" fillId="7" borderId="10" xfId="0" applyFont="1" applyFill="1" applyBorder="1" applyAlignment="1">
      <alignment horizontal="center" vertical="center"/>
    </xf>
    <xf numFmtId="177" fontId="10" fillId="7" borderId="10" xfId="8" applyNumberFormat="1" applyFont="1" applyFill="1" applyBorder="1" applyAlignment="1">
      <alignment horizontal="center" vertical="center"/>
    </xf>
    <xf numFmtId="177" fontId="44" fillId="13" borderId="24" xfId="0" applyNumberFormat="1" applyFont="1" applyFill="1" applyBorder="1" applyAlignment="1">
      <alignment horizontal="center" vertical="center" wrapText="1"/>
    </xf>
    <xf numFmtId="180" fontId="9" fillId="0" borderId="0" xfId="8" applyNumberFormat="1" applyFont="1"/>
    <xf numFmtId="0" fontId="48" fillId="17" borderId="10" xfId="0" applyFont="1" applyFill="1" applyBorder="1" applyAlignment="1">
      <alignment horizontal="center" vertical="center"/>
    </xf>
    <xf numFmtId="0" fontId="48" fillId="17" borderId="10" xfId="0" applyFont="1" applyFill="1" applyBorder="1" applyAlignment="1">
      <alignment horizontal="center" vertical="center" wrapText="1"/>
    </xf>
    <xf numFmtId="0" fontId="44" fillId="18" borderId="25" xfId="0" applyFont="1" applyFill="1" applyBorder="1" applyAlignment="1">
      <alignment horizontal="justify" vertical="center"/>
    </xf>
    <xf numFmtId="176" fontId="44" fillId="4" borderId="10" xfId="0" applyNumberFormat="1" applyFont="1" applyFill="1" applyBorder="1" applyAlignment="1">
      <alignment horizontal="center" vertical="center"/>
    </xf>
    <xf numFmtId="1" fontId="51" fillId="4" borderId="25" xfId="0" applyNumberFormat="1" applyFont="1" applyFill="1" applyBorder="1" applyAlignment="1">
      <alignment horizontal="center" vertical="center"/>
    </xf>
    <xf numFmtId="9" fontId="51" fillId="4" borderId="25" xfId="0" applyNumberFormat="1" applyFont="1" applyFill="1" applyBorder="1" applyAlignment="1">
      <alignment horizontal="center" vertical="center"/>
    </xf>
    <xf numFmtId="176" fontId="51" fillId="4" borderId="24" xfId="0" applyNumberFormat="1" applyFont="1" applyFill="1" applyBorder="1" applyAlignment="1">
      <alignment horizontal="center" vertical="center"/>
    </xf>
    <xf numFmtId="0" fontId="44" fillId="18" borderId="10" xfId="0" applyFont="1" applyFill="1" applyBorder="1" applyAlignment="1">
      <alignment horizontal="justify" vertical="center"/>
    </xf>
    <xf numFmtId="1" fontId="51" fillId="4" borderId="10" xfId="1" applyNumberFormat="1" applyFont="1" applyFill="1" applyBorder="1" applyAlignment="1">
      <alignment horizontal="center" vertical="center"/>
    </xf>
    <xf numFmtId="0" fontId="51" fillId="4" borderId="10" xfId="0" applyFont="1" applyFill="1" applyBorder="1" applyAlignment="1">
      <alignment horizontal="center" vertical="center"/>
    </xf>
    <xf numFmtId="9" fontId="51" fillId="4" borderId="10" xfId="7" applyNumberFormat="1" applyFont="1" applyFill="1" applyBorder="1" applyAlignment="1">
      <alignment horizontal="center" vertical="center"/>
    </xf>
    <xf numFmtId="0" fontId="44" fillId="18" borderId="10" xfId="0" applyFont="1" applyFill="1" applyBorder="1" applyAlignment="1">
      <alignment horizontal="justify" vertical="center" wrapText="1"/>
    </xf>
    <xf numFmtId="176" fontId="44" fillId="4" borderId="10" xfId="0" applyNumberFormat="1" applyFont="1" applyFill="1" applyBorder="1" applyAlignment="1">
      <alignment horizontal="center" vertical="center" wrapText="1"/>
    </xf>
    <xf numFmtId="0" fontId="51" fillId="12" borderId="0" xfId="0" applyFont="1" applyFill="1" applyBorder="1" applyAlignment="1">
      <alignment horizontal="center" vertical="center" wrapText="1"/>
    </xf>
    <xf numFmtId="176" fontId="51" fillId="12" borderId="0" xfId="1" applyNumberFormat="1" applyFont="1" applyFill="1" applyBorder="1" applyAlignment="1">
      <alignment horizontal="center" vertical="center"/>
    </xf>
    <xf numFmtId="1" fontId="51" fillId="12" borderId="0" xfId="1" applyNumberFormat="1" applyFont="1" applyFill="1" applyBorder="1" applyAlignment="1">
      <alignment horizontal="center" vertical="center"/>
    </xf>
    <xf numFmtId="0" fontId="51" fillId="12" borderId="0" xfId="0" applyFont="1" applyFill="1" applyBorder="1" applyAlignment="1">
      <alignment horizontal="center" vertical="center"/>
    </xf>
    <xf numFmtId="0" fontId="48" fillId="4" borderId="10" xfId="0" applyFont="1" applyFill="1" applyBorder="1" applyAlignment="1">
      <alignment horizontal="center" vertical="center"/>
    </xf>
    <xf numFmtId="176" fontId="48" fillId="4" borderId="10" xfId="0" applyNumberFormat="1" applyFont="1" applyFill="1" applyBorder="1" applyAlignment="1">
      <alignment horizontal="center" vertical="center"/>
    </xf>
    <xf numFmtId="0" fontId="48" fillId="4" borderId="10" xfId="0" applyFont="1" applyFill="1" applyBorder="1" applyAlignment="1">
      <alignment horizontal="center" vertical="center" wrapText="1"/>
    </xf>
    <xf numFmtId="1" fontId="48" fillId="4" borderId="10" xfId="0" applyNumberFormat="1" applyFont="1" applyFill="1" applyBorder="1" applyAlignment="1">
      <alignment horizontal="center" vertical="center"/>
    </xf>
    <xf numFmtId="9" fontId="48" fillId="4" borderId="10" xfId="7" applyNumberFormat="1" applyFont="1" applyFill="1" applyBorder="1" applyAlignment="1">
      <alignment horizontal="center" vertical="center" wrapText="1"/>
    </xf>
    <xf numFmtId="176" fontId="52" fillId="4" borderId="10" xfId="0" applyNumberFormat="1" applyFont="1" applyFill="1" applyBorder="1" applyAlignment="1">
      <alignment horizontal="center" vertical="center"/>
    </xf>
    <xf numFmtId="9" fontId="51" fillId="12" borderId="0" xfId="7" applyNumberFormat="1" applyFont="1" applyFill="1" applyBorder="1" applyAlignment="1">
      <alignment horizontal="center" vertical="center"/>
    </xf>
    <xf numFmtId="176" fontId="51" fillId="12" borderId="0" xfId="0" applyNumberFormat="1" applyFont="1" applyFill="1" applyBorder="1" applyAlignment="1">
      <alignment horizontal="center" vertical="center"/>
    </xf>
    <xf numFmtId="0" fontId="44" fillId="18" borderId="26" xfId="0" applyFont="1" applyFill="1" applyBorder="1" applyAlignment="1">
      <alignment horizontal="center" vertical="center"/>
    </xf>
    <xf numFmtId="176" fontId="51" fillId="4" borderId="25" xfId="0" applyNumberFormat="1" applyFont="1" applyFill="1" applyBorder="1" applyAlignment="1">
      <alignment horizontal="center" vertical="center"/>
    </xf>
    <xf numFmtId="3" fontId="51" fillId="4" borderId="25" xfId="0" applyNumberFormat="1" applyFont="1" applyFill="1" applyBorder="1" applyAlignment="1">
      <alignment horizontal="center" vertical="center"/>
    </xf>
    <xf numFmtId="0" fontId="44" fillId="18" borderId="10" xfId="0" applyFont="1" applyFill="1" applyBorder="1" applyAlignment="1">
      <alignment horizontal="center" vertical="center" wrapText="1"/>
    </xf>
    <xf numFmtId="176" fontId="51" fillId="4" borderId="10" xfId="1" applyNumberFormat="1" applyFont="1" applyFill="1" applyBorder="1" applyAlignment="1">
      <alignment horizontal="center" vertical="center"/>
    </xf>
    <xf numFmtId="3" fontId="51" fillId="4" borderId="10" xfId="1" applyNumberFormat="1" applyFont="1" applyFill="1" applyBorder="1" applyAlignment="1">
      <alignment horizontal="center" vertical="center"/>
    </xf>
    <xf numFmtId="0" fontId="9" fillId="18" borderId="10" xfId="0" applyFont="1" applyFill="1" applyBorder="1" applyAlignment="1">
      <alignment horizontal="center" vertical="center" wrapText="1"/>
    </xf>
    <xf numFmtId="0" fontId="0" fillId="0" borderId="0" xfId="0" applyFont="1"/>
    <xf numFmtId="0" fontId="45" fillId="0" borderId="0" xfId="0" applyFont="1" applyAlignment="1">
      <alignment vertical="center"/>
    </xf>
    <xf numFmtId="0" fontId="44" fillId="4" borderId="10" xfId="0" applyFont="1" applyFill="1" applyBorder="1" applyAlignment="1">
      <alignment horizontal="center" vertical="center"/>
    </xf>
    <xf numFmtId="9" fontId="51" fillId="4" borderId="10" xfId="0" applyNumberFormat="1" applyFont="1" applyFill="1" applyBorder="1" applyAlignment="1">
      <alignment horizontal="center" vertical="center"/>
    </xf>
    <xf numFmtId="0" fontId="44" fillId="18" borderId="10" xfId="0" applyFont="1" applyFill="1" applyBorder="1" applyAlignment="1">
      <alignment horizontal="center" vertical="center"/>
    </xf>
    <xf numFmtId="0" fontId="44" fillId="18" borderId="25" xfId="0" applyFont="1" applyFill="1" applyBorder="1" applyAlignment="1">
      <alignment horizontal="center" vertical="center" wrapText="1"/>
    </xf>
    <xf numFmtId="0" fontId="51" fillId="12" borderId="0" xfId="0" applyFont="1" applyFill="1" applyBorder="1" applyAlignment="1">
      <alignment horizontal="center" vertical="top" wrapText="1"/>
    </xf>
    <xf numFmtId="169" fontId="6" fillId="0" borderId="0" xfId="0" applyNumberFormat="1" applyFont="1" applyAlignment="1">
      <alignment horizontal="left" vertical="center" wrapText="1"/>
    </xf>
    <xf numFmtId="0" fontId="13" fillId="0" borderId="0" xfId="0" applyFont="1"/>
    <xf numFmtId="0" fontId="8" fillId="0" borderId="0" xfId="0" applyFont="1" applyAlignment="1">
      <alignment vertical="center"/>
    </xf>
    <xf numFmtId="0" fontId="13" fillId="0" borderId="0" xfId="0" applyFont="1" applyAlignment="1">
      <alignment vertical="center"/>
    </xf>
    <xf numFmtId="169" fontId="53" fillId="0" borderId="0" xfId="0" applyNumberFormat="1" applyFont="1" applyAlignment="1">
      <alignment horizontal="left"/>
    </xf>
    <xf numFmtId="169" fontId="0" fillId="0" borderId="0" xfId="0" applyNumberFormat="1" applyAlignment="1">
      <alignment horizontal="left"/>
    </xf>
    <xf numFmtId="169" fontId="53" fillId="0" borderId="0" xfId="0" applyNumberFormat="1" applyFont="1" applyAlignment="1">
      <alignment horizontal="left" vertical="center"/>
    </xf>
    <xf numFmtId="169" fontId="0" fillId="0" borderId="0" xfId="0" applyNumberFormat="1" applyAlignment="1">
      <alignment horizontal="left" vertical="center"/>
    </xf>
    <xf numFmtId="169" fontId="1" fillId="0" borderId="7" xfId="0" applyNumberFormat="1" applyFont="1" applyBorder="1" applyAlignment="1">
      <alignment horizontal="left" vertical="center" wrapText="1"/>
    </xf>
    <xf numFmtId="169" fontId="1" fillId="0" borderId="8" xfId="0" applyNumberFormat="1" applyFont="1" applyBorder="1" applyAlignment="1">
      <alignment horizontal="left" vertical="center" wrapText="1"/>
    </xf>
    <xf numFmtId="169" fontId="54" fillId="0" borderId="7" xfId="0" applyNumberFormat="1" applyFont="1" applyBorder="1" applyAlignment="1">
      <alignment horizontal="left" vertical="center" wrapText="1"/>
    </xf>
    <xf numFmtId="169" fontId="54" fillId="0" borderId="0" xfId="0" applyNumberFormat="1" applyFont="1" applyBorder="1" applyAlignment="1">
      <alignment horizontal="left" vertical="center" wrapText="1"/>
    </xf>
    <xf numFmtId="169" fontId="1" fillId="0" borderId="0" xfId="0" applyNumberFormat="1" applyFont="1" applyBorder="1" applyAlignment="1">
      <alignment horizontal="left" vertical="center" wrapText="1"/>
    </xf>
    <xf numFmtId="169" fontId="42" fillId="0" borderId="0" xfId="1" applyNumberFormat="1" applyFont="1" applyBorder="1" applyAlignment="1">
      <alignment horizontal="left" vertical="center" wrapText="1"/>
    </xf>
    <xf numFmtId="169" fontId="2" fillId="0" borderId="0" xfId="1" applyNumberFormat="1" applyFont="1" applyBorder="1" applyAlignment="1">
      <alignment horizontal="left" vertical="center" wrapText="1"/>
    </xf>
    <xf numFmtId="169" fontId="54" fillId="0" borderId="6" xfId="1" applyNumberFormat="1" applyFont="1" applyBorder="1" applyAlignment="1">
      <alignment horizontal="left" vertical="center" wrapText="1"/>
    </xf>
    <xf numFmtId="169" fontId="54" fillId="0" borderId="0" xfId="1" applyNumberFormat="1" applyFont="1" applyBorder="1" applyAlignment="1">
      <alignment horizontal="left" vertical="center" wrapText="1"/>
    </xf>
    <xf numFmtId="169" fontId="1" fillId="0" borderId="0" xfId="1" applyNumberFormat="1" applyFont="1" applyBorder="1" applyAlignment="1">
      <alignment horizontal="left" vertical="center" wrapText="1"/>
    </xf>
    <xf numFmtId="169" fontId="55" fillId="0" borderId="0" xfId="0" applyNumberFormat="1" applyFont="1" applyBorder="1" applyAlignment="1">
      <alignment horizontal="left" vertical="center" wrapText="1"/>
    </xf>
    <xf numFmtId="169" fontId="6" fillId="0" borderId="0" xfId="0" applyNumberFormat="1" applyFont="1" applyBorder="1" applyAlignment="1">
      <alignment horizontal="left" vertical="center" wrapText="1"/>
    </xf>
    <xf numFmtId="0" fontId="8" fillId="0" borderId="0" xfId="0" applyFont="1" applyBorder="1" applyAlignment="1">
      <alignment horizontal="left" vertical="center"/>
    </xf>
    <xf numFmtId="0" fontId="0" fillId="0" borderId="0" xfId="0" applyBorder="1" applyAlignment="1">
      <alignment vertical="center"/>
    </xf>
    <xf numFmtId="169" fontId="55" fillId="0" borderId="0" xfId="0" applyNumberFormat="1" applyFont="1" applyAlignment="1">
      <alignment horizontal="left" vertical="center" wrapText="1"/>
    </xf>
    <xf numFmtId="0" fontId="14" fillId="12" borderId="0" xfId="0" applyFont="1" applyFill="1" applyBorder="1" applyAlignment="1">
      <alignment horizontal="center" vertical="center" wrapText="1"/>
    </xf>
    <xf numFmtId="171" fontId="15" fillId="12" borderId="0" xfId="0" applyNumberFormat="1" applyFont="1" applyFill="1" applyBorder="1" applyAlignment="1">
      <alignment vertical="center"/>
    </xf>
    <xf numFmtId="0" fontId="14" fillId="12" borderId="0" xfId="0" applyFont="1" applyFill="1" applyBorder="1" applyAlignment="1">
      <alignment horizontal="center" vertical="center"/>
    </xf>
    <xf numFmtId="0" fontId="15" fillId="12" borderId="0" xfId="0" applyFont="1" applyFill="1" applyBorder="1"/>
    <xf numFmtId="0" fontId="14" fillId="12" borderId="0" xfId="0" applyFont="1" applyFill="1" applyBorder="1"/>
    <xf numFmtId="0" fontId="15" fillId="0" borderId="0" xfId="0" applyFont="1"/>
    <xf numFmtId="10" fontId="15" fillId="0" borderId="0" xfId="7" applyNumberFormat="1" applyFont="1" applyAlignment="1">
      <alignment horizontal="center"/>
    </xf>
    <xf numFmtId="0" fontId="15" fillId="0" borderId="0" xfId="0" applyFont="1" applyAlignment="1">
      <alignment horizontal="center"/>
    </xf>
    <xf numFmtId="171" fontId="15" fillId="0" borderId="0" xfId="8" applyNumberFormat="1" applyFont="1"/>
    <xf numFmtId="14" fontId="15" fillId="0" borderId="0" xfId="0" applyNumberFormat="1" applyFont="1"/>
    <xf numFmtId="0" fontId="15" fillId="0" borderId="0" xfId="0" applyFont="1" applyAlignment="1">
      <alignment horizontal="center" vertical="center"/>
    </xf>
    <xf numFmtId="0" fontId="14" fillId="0" borderId="10" xfId="0" applyFont="1" applyBorder="1" applyAlignment="1">
      <alignment horizontal="center" vertical="center"/>
    </xf>
    <xf numFmtId="0" fontId="14" fillId="0" borderId="10" xfId="0" applyFont="1" applyBorder="1" applyAlignment="1">
      <alignment horizontal="center"/>
    </xf>
    <xf numFmtId="0" fontId="15" fillId="0" borderId="10" xfId="0" applyFont="1" applyBorder="1" applyAlignment="1">
      <alignment horizontal="center" vertical="center"/>
    </xf>
    <xf numFmtId="14" fontId="14" fillId="0" borderId="10" xfId="0" applyNumberFormat="1" applyFont="1" applyBorder="1" applyAlignment="1">
      <alignment horizontal="center" vertical="center"/>
    </xf>
    <xf numFmtId="1" fontId="15" fillId="0" borderId="10" xfId="7" applyNumberFormat="1" applyFont="1" applyFill="1" applyBorder="1" applyAlignment="1">
      <alignment horizontal="center" vertical="center"/>
    </xf>
    <xf numFmtId="14" fontId="15" fillId="0" borderId="10" xfId="0" applyNumberFormat="1" applyFont="1" applyBorder="1" applyAlignment="1">
      <alignment horizontal="center" vertical="center"/>
    </xf>
    <xf numFmtId="0" fontId="15" fillId="0" borderId="10" xfId="0" applyFont="1" applyBorder="1" applyAlignment="1">
      <alignment horizontal="center"/>
    </xf>
    <xf numFmtId="1" fontId="15" fillId="0" borderId="10" xfId="7" applyNumberFormat="1" applyFont="1" applyBorder="1" applyAlignment="1">
      <alignment horizontal="center"/>
    </xf>
    <xf numFmtId="0" fontId="15" fillId="0" borderId="10" xfId="0" applyFont="1" applyFill="1" applyBorder="1" applyAlignment="1">
      <alignment horizontal="center" vertical="center"/>
    </xf>
    <xf numFmtId="176" fontId="15" fillId="0" borderId="10" xfId="1" applyNumberFormat="1" applyFont="1" applyFill="1" applyBorder="1" applyAlignment="1">
      <alignment horizontal="center" vertical="center"/>
    </xf>
    <xf numFmtId="0" fontId="15" fillId="0" borderId="0" xfId="0" applyFont="1" applyAlignment="1">
      <alignment vertical="center"/>
    </xf>
    <xf numFmtId="0" fontId="15" fillId="12" borderId="0" xfId="0" applyFont="1" applyFill="1" applyBorder="1" applyAlignment="1">
      <alignment horizontal="center" vertical="center"/>
    </xf>
    <xf numFmtId="0" fontId="15" fillId="12" borderId="10" xfId="0" applyFont="1" applyFill="1" applyBorder="1" applyAlignment="1">
      <alignment horizontal="center" vertical="center"/>
    </xf>
    <xf numFmtId="0" fontId="15" fillId="0" borderId="0" xfId="0" applyFont="1" applyFill="1" applyBorder="1" applyAlignment="1">
      <alignment horizontal="left" vertical="center"/>
    </xf>
    <xf numFmtId="0" fontId="14" fillId="19" borderId="27" xfId="0" applyFont="1" applyFill="1" applyBorder="1" applyAlignment="1">
      <alignment horizontal="center" vertical="center"/>
    </xf>
    <xf numFmtId="0" fontId="14" fillId="0" borderId="10" xfId="0" applyFont="1" applyFill="1" applyBorder="1" applyAlignment="1">
      <alignment horizontal="center" vertical="center"/>
    </xf>
    <xf numFmtId="14" fontId="15" fillId="0" borderId="10" xfId="0" applyNumberFormat="1" applyFont="1" applyFill="1" applyBorder="1" applyAlignment="1">
      <alignment horizontal="center" vertical="center"/>
    </xf>
    <xf numFmtId="176" fontId="15" fillId="0" borderId="10" xfId="8" applyNumberFormat="1" applyFont="1" applyFill="1" applyBorder="1" applyAlignment="1">
      <alignment horizontal="center" vertical="center"/>
    </xf>
    <xf numFmtId="176" fontId="15" fillId="0" borderId="10" xfId="0" applyNumberFormat="1" applyFont="1" applyFill="1" applyBorder="1" applyAlignment="1">
      <alignment horizontal="center" vertical="center"/>
    </xf>
    <xf numFmtId="176" fontId="15" fillId="12" borderId="10" xfId="8" applyNumberFormat="1" applyFont="1" applyFill="1" applyBorder="1" applyAlignment="1">
      <alignment horizontal="center" vertical="center"/>
    </xf>
    <xf numFmtId="4" fontId="15" fillId="0" borderId="10" xfId="8" applyNumberFormat="1" applyFont="1" applyFill="1" applyBorder="1" applyAlignment="1">
      <alignment horizontal="center" vertical="center"/>
    </xf>
    <xf numFmtId="171" fontId="15" fillId="12" borderId="10" xfId="0" applyNumberFormat="1" applyFont="1" applyFill="1" applyBorder="1" applyAlignment="1">
      <alignment horizontal="center" vertical="center"/>
    </xf>
    <xf numFmtId="14" fontId="15" fillId="12" borderId="10" xfId="0" applyNumberFormat="1" applyFont="1" applyFill="1" applyBorder="1" applyAlignment="1">
      <alignment horizontal="center" vertical="center"/>
    </xf>
    <xf numFmtId="176" fontId="15" fillId="12" borderId="10" xfId="0" applyNumberFormat="1" applyFont="1" applyFill="1" applyBorder="1" applyAlignment="1">
      <alignment horizontal="center" vertical="center"/>
    </xf>
    <xf numFmtId="0" fontId="15" fillId="0" borderId="0" xfId="0" applyFont="1" applyFill="1" applyBorder="1" applyAlignment="1">
      <alignment horizontal="center" vertical="center"/>
    </xf>
    <xf numFmtId="176" fontId="15" fillId="12" borderId="0" xfId="8" applyNumberFormat="1" applyFont="1" applyFill="1" applyBorder="1" applyAlignment="1">
      <alignment horizontal="center" vertical="center"/>
    </xf>
    <xf numFmtId="0" fontId="15" fillId="12" borderId="0" xfId="0" applyFont="1" applyFill="1" applyBorder="1" applyAlignment="1">
      <alignment horizontal="left" vertical="center"/>
    </xf>
    <xf numFmtId="1" fontId="15" fillId="0" borderId="0" xfId="7" applyNumberFormat="1" applyFont="1" applyFill="1" applyAlignment="1">
      <alignment horizontal="center" vertical="center"/>
    </xf>
    <xf numFmtId="0" fontId="15" fillId="12" borderId="0" xfId="0" applyNumberFormat="1" applyFont="1" applyFill="1" applyBorder="1" applyAlignment="1">
      <alignment horizontal="left" vertical="center"/>
    </xf>
    <xf numFmtId="171" fontId="15" fillId="0" borderId="0" xfId="8" applyNumberFormat="1" applyFont="1" applyAlignment="1">
      <alignment vertical="center"/>
    </xf>
    <xf numFmtId="14" fontId="15" fillId="0" borderId="0" xfId="0" applyNumberFormat="1" applyFont="1" applyAlignment="1">
      <alignment vertical="center"/>
    </xf>
    <xf numFmtId="0" fontId="14" fillId="0" borderId="10" xfId="0" applyFont="1" applyFill="1" applyBorder="1" applyAlignment="1">
      <alignment horizontal="center" vertical="center" wrapText="1"/>
    </xf>
    <xf numFmtId="10" fontId="14" fillId="0" borderId="10" xfId="7" applyNumberFormat="1" applyFont="1" applyFill="1" applyBorder="1" applyAlignment="1">
      <alignment horizontal="center" vertical="center" wrapText="1"/>
    </xf>
    <xf numFmtId="171" fontId="14" fillId="0" borderId="10" xfId="8" applyNumberFormat="1" applyFont="1" applyFill="1" applyBorder="1" applyAlignment="1">
      <alignment horizontal="center" vertical="center" wrapText="1"/>
    </xf>
    <xf numFmtId="14" fontId="14" fillId="0" borderId="10" xfId="0" applyNumberFormat="1" applyFont="1" applyFill="1" applyBorder="1" applyAlignment="1">
      <alignment horizontal="center" vertical="center" wrapText="1"/>
    </xf>
    <xf numFmtId="0" fontId="15" fillId="5" borderId="10" xfId="0" applyNumberFormat="1" applyFont="1" applyFill="1" applyBorder="1" applyAlignment="1">
      <alignment horizontal="center" vertical="center"/>
    </xf>
    <xf numFmtId="10" fontId="15" fillId="5" borderId="10" xfId="7" applyNumberFormat="1" applyFont="1" applyFill="1" applyBorder="1" applyAlignment="1">
      <alignment horizontal="center" vertical="center"/>
    </xf>
    <xf numFmtId="0" fontId="15" fillId="5" borderId="10" xfId="0" applyFont="1" applyFill="1" applyBorder="1" applyAlignment="1">
      <alignment horizontal="center" vertical="center"/>
    </xf>
    <xf numFmtId="171" fontId="15" fillId="5" borderId="10" xfId="0" applyNumberFormat="1" applyFont="1" applyFill="1" applyBorder="1" applyAlignment="1">
      <alignment horizontal="center" vertical="center"/>
    </xf>
    <xf numFmtId="4" fontId="15" fillId="5" borderId="10" xfId="0" applyNumberFormat="1" applyFont="1" applyFill="1" applyBorder="1" applyAlignment="1">
      <alignment horizontal="center" vertical="center"/>
    </xf>
    <xf numFmtId="14" fontId="15" fillId="5" borderId="10" xfId="0" applyNumberFormat="1" applyFont="1" applyFill="1" applyBorder="1" applyAlignment="1">
      <alignment horizontal="center" vertical="center"/>
    </xf>
    <xf numFmtId="0" fontId="15" fillId="5" borderId="10" xfId="8" applyNumberFormat="1" applyFont="1" applyFill="1" applyBorder="1" applyAlignment="1">
      <alignment horizontal="center" vertical="center"/>
    </xf>
    <xf numFmtId="0" fontId="14" fillId="0" borderId="0" xfId="0" applyFont="1" applyFill="1" applyBorder="1" applyAlignment="1">
      <alignment horizontal="center" vertical="center"/>
    </xf>
    <xf numFmtId="0" fontId="15" fillId="5" borderId="10" xfId="0" applyFont="1" applyFill="1" applyBorder="1" applyAlignment="1">
      <alignment horizontal="center" vertical="center" wrapText="1"/>
    </xf>
    <xf numFmtId="0" fontId="15" fillId="0" borderId="0" xfId="0" applyFont="1" applyFill="1" applyBorder="1" applyAlignment="1">
      <alignment horizontal="center"/>
    </xf>
    <xf numFmtId="171" fontId="56" fillId="0" borderId="0" xfId="0" applyNumberFormat="1" applyFont="1" applyFill="1" applyBorder="1" applyAlignment="1">
      <alignment horizontal="center" vertical="center"/>
    </xf>
    <xf numFmtId="0" fontId="15" fillId="0" borderId="0" xfId="0" applyFont="1" applyFill="1" applyBorder="1"/>
    <xf numFmtId="0" fontId="14" fillId="0" borderId="0" xfId="0" applyFont="1" applyFill="1" applyBorder="1" applyAlignment="1">
      <alignment horizontal="center"/>
    </xf>
    <xf numFmtId="171" fontId="15" fillId="0" borderId="0" xfId="8" applyNumberFormat="1" applyFont="1" applyFill="1" applyBorder="1"/>
    <xf numFmtId="14" fontId="15" fillId="0" borderId="0" xfId="0" applyNumberFormat="1" applyFont="1" applyFill="1" applyBorder="1"/>
    <xf numFmtId="0" fontId="15" fillId="12" borderId="0" xfId="0" applyNumberFormat="1" applyFont="1" applyFill="1" applyBorder="1" applyAlignment="1">
      <alignment horizontal="center" vertical="center"/>
    </xf>
    <xf numFmtId="10" fontId="15" fillId="12" borderId="0" xfId="7" applyNumberFormat="1" applyFont="1" applyFill="1" applyBorder="1" applyAlignment="1">
      <alignment horizontal="center" vertical="center"/>
    </xf>
    <xf numFmtId="0" fontId="15" fillId="12" borderId="0" xfId="0" applyFont="1" applyFill="1" applyBorder="1" applyAlignment="1">
      <alignment horizontal="center" vertical="center" wrapText="1"/>
    </xf>
    <xf numFmtId="171" fontId="15" fillId="12" borderId="0" xfId="0" applyNumberFormat="1" applyFont="1" applyFill="1" applyBorder="1" applyAlignment="1">
      <alignment horizontal="center" vertical="center"/>
    </xf>
    <xf numFmtId="0" fontId="14" fillId="12" borderId="0" xfId="8" applyNumberFormat="1" applyFont="1" applyFill="1" applyBorder="1" applyAlignment="1">
      <alignment horizontal="center" vertical="center"/>
    </xf>
    <xf numFmtId="4" fontId="15" fillId="12" borderId="0" xfId="0" applyNumberFormat="1" applyFont="1" applyFill="1" applyBorder="1" applyAlignment="1">
      <alignment vertical="center"/>
    </xf>
    <xf numFmtId="14" fontId="15" fillId="12" borderId="0" xfId="0" applyNumberFormat="1" applyFont="1" applyFill="1" applyBorder="1" applyAlignment="1">
      <alignment horizontal="center" vertical="center"/>
    </xf>
    <xf numFmtId="0" fontId="14" fillId="12" borderId="10" xfId="0" applyNumberFormat="1" applyFont="1" applyFill="1" applyBorder="1" applyAlignment="1">
      <alignment horizontal="center" vertical="center"/>
    </xf>
    <xf numFmtId="0" fontId="15" fillId="12" borderId="10" xfId="0" applyNumberFormat="1" applyFont="1" applyFill="1" applyBorder="1" applyAlignment="1">
      <alignment horizontal="center" vertical="center"/>
    </xf>
    <xf numFmtId="10" fontId="15" fillId="12" borderId="10" xfId="0" applyNumberFormat="1" applyFont="1" applyFill="1" applyBorder="1" applyAlignment="1">
      <alignment horizontal="center" vertical="center"/>
    </xf>
    <xf numFmtId="0" fontId="15" fillId="12" borderId="0" xfId="8" applyNumberFormat="1" applyFont="1" applyFill="1" applyBorder="1" applyAlignment="1">
      <alignment horizontal="center" vertical="center"/>
    </xf>
    <xf numFmtId="10" fontId="15" fillId="0" borderId="10" xfId="7" applyNumberFormat="1" applyFont="1" applyFill="1" applyBorder="1" applyAlignment="1">
      <alignment horizontal="center"/>
    </xf>
    <xf numFmtId="0" fontId="14" fillId="0" borderId="10" xfId="0" applyFont="1" applyFill="1" applyBorder="1" applyAlignment="1">
      <alignment horizontal="center"/>
    </xf>
    <xf numFmtId="0" fontId="15" fillId="0" borderId="0" xfId="0" applyFont="1" applyBorder="1"/>
    <xf numFmtId="0" fontId="14" fillId="0" borderId="28" xfId="0" applyFont="1" applyBorder="1" applyAlignment="1"/>
    <xf numFmtId="0" fontId="14" fillId="12" borderId="10" xfId="0" applyFont="1" applyFill="1" applyBorder="1" applyAlignment="1">
      <alignment horizontal="center" vertical="center"/>
    </xf>
    <xf numFmtId="0" fontId="14" fillId="0" borderId="0" xfId="0" applyFont="1" applyBorder="1" applyAlignment="1">
      <alignment horizontal="center"/>
    </xf>
    <xf numFmtId="4" fontId="15" fillId="0" borderId="10" xfId="0" applyNumberFormat="1" applyFont="1" applyBorder="1" applyAlignment="1">
      <alignment horizontal="center" vertical="center"/>
    </xf>
    <xf numFmtId="10" fontId="15" fillId="0" borderId="10" xfId="7" applyNumberFormat="1" applyFont="1" applyBorder="1" applyAlignment="1">
      <alignment horizontal="center" vertical="center"/>
    </xf>
    <xf numFmtId="1" fontId="15" fillId="0" borderId="10" xfId="0" applyNumberFormat="1" applyFont="1" applyBorder="1" applyAlignment="1">
      <alignment horizontal="center"/>
    </xf>
    <xf numFmtId="4" fontId="57" fillId="0" borderId="10" xfId="1" applyNumberFormat="1" applyFont="1" applyBorder="1" applyAlignment="1">
      <alignment horizontal="center" vertical="center"/>
    </xf>
    <xf numFmtId="4" fontId="15" fillId="12" borderId="10" xfId="0" applyNumberFormat="1" applyFont="1" applyFill="1" applyBorder="1" applyAlignment="1">
      <alignment horizontal="center" vertical="center"/>
    </xf>
    <xf numFmtId="0" fontId="15" fillId="0" borderId="0" xfId="0" applyFont="1" applyBorder="1" applyAlignment="1">
      <alignment vertical="center"/>
    </xf>
    <xf numFmtId="0" fontId="15" fillId="0" borderId="0" xfId="0" applyFont="1" applyFill="1" applyBorder="1" applyAlignment="1">
      <alignment vertical="center"/>
    </xf>
    <xf numFmtId="0" fontId="15" fillId="0" borderId="0" xfId="0" applyFont="1" applyBorder="1" applyAlignment="1">
      <alignment horizontal="center" vertical="center"/>
    </xf>
    <xf numFmtId="4" fontId="15" fillId="12" borderId="10" xfId="8" applyNumberFormat="1" applyFont="1" applyFill="1" applyBorder="1" applyAlignment="1">
      <alignment horizontal="center" vertical="center"/>
    </xf>
    <xf numFmtId="0" fontId="15" fillId="0" borderId="0" xfId="0" applyFont="1" applyBorder="1" applyAlignment="1">
      <alignment horizontal="center"/>
    </xf>
    <xf numFmtId="176" fontId="15" fillId="12" borderId="0" xfId="0" applyNumberFormat="1" applyFont="1" applyFill="1" applyBorder="1" applyAlignment="1">
      <alignment horizontal="center" vertical="center"/>
    </xf>
    <xf numFmtId="10" fontId="15" fillId="0" borderId="0" xfId="7" applyNumberFormat="1" applyFont="1" applyBorder="1" applyAlignment="1">
      <alignment horizontal="center" vertical="center"/>
    </xf>
    <xf numFmtId="4" fontId="15" fillId="0" borderId="0" xfId="8" applyNumberFormat="1" applyFont="1" applyFill="1" applyBorder="1" applyAlignment="1">
      <alignment horizontal="center" vertical="center"/>
    </xf>
    <xf numFmtId="4" fontId="15" fillId="12" borderId="0" xfId="8" applyNumberFormat="1" applyFont="1" applyFill="1" applyBorder="1" applyAlignment="1">
      <alignment horizontal="center" vertical="center"/>
    </xf>
    <xf numFmtId="1" fontId="15" fillId="0" borderId="0" xfId="0" applyNumberFormat="1" applyFont="1" applyBorder="1" applyAlignment="1">
      <alignment horizontal="center" vertical="center"/>
    </xf>
    <xf numFmtId="1" fontId="15" fillId="12" borderId="0" xfId="0" applyNumberFormat="1" applyFont="1" applyFill="1" applyBorder="1" applyAlignment="1">
      <alignment horizontal="center" vertical="center"/>
    </xf>
    <xf numFmtId="0" fontId="15" fillId="12" borderId="0" xfId="0" applyFont="1" applyFill="1" applyBorder="1" applyAlignment="1">
      <alignment vertical="center"/>
    </xf>
    <xf numFmtId="0" fontId="14" fillId="0" borderId="27" xfId="0" applyFont="1" applyFill="1" applyBorder="1" applyAlignment="1">
      <alignment horizontal="center" vertical="center" wrapText="1"/>
    </xf>
    <xf numFmtId="2" fontId="15" fillId="5" borderId="10" xfId="0" applyNumberFormat="1" applyFont="1" applyFill="1" applyBorder="1" applyAlignment="1">
      <alignment horizontal="center" vertical="center"/>
    </xf>
    <xf numFmtId="2" fontId="15" fillId="5" borderId="27" xfId="0" applyNumberFormat="1" applyFont="1" applyFill="1" applyBorder="1" applyAlignment="1">
      <alignment horizontal="center" vertical="center"/>
    </xf>
    <xf numFmtId="4" fontId="15" fillId="12" borderId="0" xfId="0" applyNumberFormat="1" applyFont="1" applyFill="1" applyBorder="1" applyAlignment="1">
      <alignment horizontal="center" vertical="center"/>
    </xf>
    <xf numFmtId="2" fontId="15" fillId="12" borderId="0" xfId="0" applyNumberFormat="1" applyFont="1" applyFill="1" applyBorder="1" applyAlignment="1">
      <alignment horizontal="center" vertical="center"/>
    </xf>
    <xf numFmtId="4" fontId="14" fillId="12" borderId="0" xfId="0" applyNumberFormat="1" applyFont="1" applyFill="1" applyBorder="1" applyAlignment="1">
      <alignment horizontal="center" vertical="center"/>
    </xf>
    <xf numFmtId="2" fontId="14" fillId="12" borderId="0" xfId="0" applyNumberFormat="1" applyFont="1" applyFill="1" applyBorder="1" applyAlignment="1">
      <alignment horizontal="center" vertical="center"/>
    </xf>
    <xf numFmtId="171" fontId="15" fillId="0" borderId="10" xfId="0" applyNumberFormat="1" applyFont="1" applyFill="1" applyBorder="1" applyAlignment="1">
      <alignment horizontal="center" vertical="center"/>
    </xf>
    <xf numFmtId="0" fontId="15" fillId="0" borderId="10" xfId="0" applyFont="1" applyFill="1" applyBorder="1" applyAlignment="1">
      <alignment horizontal="center" vertical="center" wrapText="1"/>
    </xf>
    <xf numFmtId="1" fontId="15" fillId="0" borderId="0" xfId="0" applyNumberFormat="1" applyFont="1" applyBorder="1" applyAlignment="1">
      <alignment horizontal="center"/>
    </xf>
    <xf numFmtId="4" fontId="57" fillId="0" borderId="0" xfId="1" applyNumberFormat="1" applyFont="1" applyBorder="1" applyAlignment="1">
      <alignment horizontal="center" vertical="center"/>
    </xf>
    <xf numFmtId="0" fontId="15" fillId="0" borderId="0" xfId="0" applyFont="1" applyFill="1" applyAlignment="1">
      <alignment horizontal="center" vertical="center"/>
    </xf>
    <xf numFmtId="176" fontId="15" fillId="5" borderId="10" xfId="0" applyNumberFormat="1" applyFont="1" applyFill="1" applyBorder="1" applyAlignment="1">
      <alignment horizontal="center" vertical="center"/>
    </xf>
    <xf numFmtId="10" fontId="16" fillId="12" borderId="0" xfId="7" applyNumberFormat="1" applyFont="1" applyFill="1" applyBorder="1" applyAlignment="1">
      <alignment horizontal="left" vertical="center"/>
    </xf>
    <xf numFmtId="43" fontId="56" fillId="0" borderId="0" xfId="0" applyNumberFormat="1" applyFont="1" applyFill="1" applyBorder="1"/>
    <xf numFmtId="171" fontId="56" fillId="12" borderId="0" xfId="0" applyNumberFormat="1" applyFont="1" applyFill="1" applyBorder="1" applyAlignment="1">
      <alignment horizontal="center" vertical="center"/>
    </xf>
    <xf numFmtId="171" fontId="14" fillId="12" borderId="0" xfId="0" applyNumberFormat="1" applyFont="1" applyFill="1" applyBorder="1" applyAlignment="1">
      <alignment horizontal="center" vertical="center"/>
    </xf>
    <xf numFmtId="10" fontId="14" fillId="12" borderId="0" xfId="7" applyNumberFormat="1" applyFont="1" applyFill="1" applyBorder="1" applyAlignment="1">
      <alignment horizontal="center" vertical="center"/>
    </xf>
    <xf numFmtId="0" fontId="15" fillId="18" borderId="0" xfId="0" applyFont="1" applyFill="1" applyAlignment="1">
      <alignment horizontal="left"/>
    </xf>
    <xf numFmtId="0" fontId="15" fillId="18" borderId="0" xfId="0" applyFont="1" applyFill="1"/>
    <xf numFmtId="0" fontId="15" fillId="12" borderId="0" xfId="0" applyFont="1" applyFill="1" applyAlignment="1">
      <alignment horizontal="left"/>
    </xf>
    <xf numFmtId="10" fontId="15" fillId="0" borderId="10" xfId="7" applyNumberFormat="1" applyFont="1" applyBorder="1" applyAlignment="1">
      <alignment horizontal="center"/>
    </xf>
    <xf numFmtId="0" fontId="17" fillId="0" borderId="0" xfId="0" applyFont="1" applyAlignment="1">
      <alignment horizontal="center"/>
    </xf>
    <xf numFmtId="10" fontId="15" fillId="0" borderId="10" xfId="8" applyNumberFormat="1" applyFont="1" applyBorder="1" applyAlignment="1">
      <alignment horizontal="center"/>
    </xf>
    <xf numFmtId="173" fontId="15" fillId="0" borderId="0" xfId="0" applyNumberFormat="1" applyFont="1"/>
    <xf numFmtId="171" fontId="14" fillId="0" borderId="0" xfId="8" applyNumberFormat="1" applyFont="1" applyBorder="1" applyAlignment="1">
      <alignment horizontal="center"/>
    </xf>
    <xf numFmtId="0" fontId="14" fillId="2" borderId="10" xfId="0" applyFont="1" applyFill="1" applyBorder="1" applyAlignment="1">
      <alignment horizontal="center" vertical="top" wrapText="1"/>
    </xf>
    <xf numFmtId="10" fontId="14" fillId="2" borderId="10" xfId="7" applyNumberFormat="1" applyFont="1" applyFill="1" applyBorder="1" applyAlignment="1">
      <alignment horizontal="center" vertical="top" wrapText="1"/>
    </xf>
    <xf numFmtId="0" fontId="15" fillId="2" borderId="10" xfId="0" applyFont="1" applyFill="1" applyBorder="1" applyAlignment="1">
      <alignment horizontal="center" vertical="top" wrapText="1"/>
    </xf>
    <xf numFmtId="10" fontId="15" fillId="2" borderId="10" xfId="7" applyNumberFormat="1" applyFont="1" applyFill="1" applyBorder="1" applyAlignment="1">
      <alignment horizontal="center" vertical="top" wrapText="1"/>
    </xf>
    <xf numFmtId="0" fontId="15" fillId="12" borderId="10" xfId="0" applyFont="1" applyFill="1" applyBorder="1" applyAlignment="1">
      <alignment horizontal="center" vertical="top" wrapText="1"/>
    </xf>
    <xf numFmtId="10" fontId="15" fillId="12" borderId="10" xfId="7" applyNumberFormat="1" applyFont="1" applyFill="1" applyBorder="1" applyAlignment="1">
      <alignment horizontal="center" vertical="top" wrapText="1"/>
    </xf>
    <xf numFmtId="0" fontId="15" fillId="12" borderId="0" xfId="0" applyFont="1" applyFill="1" applyAlignment="1">
      <alignment horizontal="center"/>
    </xf>
    <xf numFmtId="0" fontId="15" fillId="0" borderId="0" xfId="0" applyFont="1" applyFill="1"/>
    <xf numFmtId="171" fontId="15" fillId="0" borderId="0" xfId="8" applyNumberFormat="1" applyFont="1" applyFill="1"/>
    <xf numFmtId="10" fontId="15" fillId="0" borderId="10" xfId="7" applyNumberFormat="1" applyFont="1" applyFill="1" applyBorder="1" applyAlignment="1">
      <alignment horizontal="center" vertical="top" wrapText="1"/>
    </xf>
    <xf numFmtId="0" fontId="14" fillId="0" borderId="0" xfId="0" applyFont="1" applyAlignment="1">
      <alignment horizontal="right"/>
    </xf>
    <xf numFmtId="10" fontId="14" fillId="2" borderId="10" xfId="7" applyNumberFormat="1" applyFont="1" applyFill="1" applyBorder="1" applyAlignment="1">
      <alignment horizontal="center"/>
    </xf>
    <xf numFmtId="0" fontId="18" fillId="0" borderId="11" xfId="0" applyFont="1" applyFill="1" applyBorder="1"/>
    <xf numFmtId="0" fontId="58" fillId="0" borderId="29" xfId="0" applyFont="1" applyFill="1" applyBorder="1"/>
    <xf numFmtId="0" fontId="15" fillId="0" borderId="29" xfId="0" applyFont="1" applyBorder="1"/>
    <xf numFmtId="171" fontId="15" fillId="0" borderId="29" xfId="8" applyNumberFormat="1" applyFont="1" applyBorder="1"/>
    <xf numFmtId="14" fontId="15" fillId="0" borderId="29" xfId="0" applyNumberFormat="1" applyFont="1" applyBorder="1"/>
    <xf numFmtId="0" fontId="18" fillId="0" borderId="12" xfId="0" applyFont="1" applyFill="1" applyBorder="1" applyAlignment="1">
      <alignment horizontal="left"/>
    </xf>
    <xf numFmtId="0" fontId="59" fillId="0" borderId="30" xfId="0" applyFont="1" applyFill="1" applyBorder="1"/>
    <xf numFmtId="0" fontId="15" fillId="0" borderId="30" xfId="0" applyFont="1" applyBorder="1"/>
    <xf numFmtId="171" fontId="15" fillId="0" borderId="0" xfId="8" applyNumberFormat="1" applyFont="1" applyBorder="1"/>
    <xf numFmtId="14" fontId="15" fillId="0" borderId="0" xfId="0" applyNumberFormat="1" applyFont="1" applyBorder="1"/>
    <xf numFmtId="10" fontId="18" fillId="0" borderId="11" xfId="0" applyNumberFormat="1" applyFont="1" applyBorder="1" applyAlignment="1">
      <alignment horizontal="left"/>
    </xf>
    <xf numFmtId="0" fontId="59" fillId="0" borderId="29" xfId="0" applyFont="1" applyBorder="1"/>
    <xf numFmtId="0" fontId="18" fillId="0" borderId="11" xfId="0" applyFont="1" applyBorder="1" applyAlignment="1">
      <alignment horizontal="left"/>
    </xf>
    <xf numFmtId="0" fontId="18" fillId="0" borderId="12" xfId="0" applyFont="1" applyBorder="1" applyAlignment="1">
      <alignment horizontal="left"/>
    </xf>
    <xf numFmtId="0" fontId="59" fillId="0" borderId="30" xfId="0" applyFont="1" applyBorder="1"/>
    <xf numFmtId="171" fontId="15" fillId="0" borderId="28" xfId="8" applyNumberFormat="1" applyFont="1" applyBorder="1"/>
    <xf numFmtId="14" fontId="15" fillId="0" borderId="28" xfId="0" applyNumberFormat="1" applyFont="1" applyBorder="1"/>
    <xf numFmtId="10" fontId="15" fillId="12" borderId="10" xfId="7" applyNumberFormat="1" applyFont="1" applyFill="1" applyBorder="1" applyAlignment="1">
      <alignment horizontal="center"/>
    </xf>
    <xf numFmtId="171" fontId="15" fillId="0" borderId="30" xfId="8" applyNumberFormat="1" applyFont="1" applyBorder="1"/>
    <xf numFmtId="10" fontId="14" fillId="0" borderId="10" xfId="7" applyNumberFormat="1" applyFont="1" applyFill="1" applyBorder="1" applyAlignment="1">
      <alignment horizontal="center"/>
    </xf>
    <xf numFmtId="0" fontId="60" fillId="3" borderId="10" xfId="0" applyFont="1" applyFill="1" applyBorder="1" applyAlignment="1">
      <alignment horizontal="center" vertical="top" wrapText="1"/>
    </xf>
    <xf numFmtId="10" fontId="60" fillId="3" borderId="10" xfId="7" applyNumberFormat="1" applyFont="1" applyFill="1" applyBorder="1" applyAlignment="1">
      <alignment horizontal="center" vertical="top" wrapText="1"/>
    </xf>
    <xf numFmtId="10" fontId="15" fillId="0" borderId="0" xfId="7" applyNumberFormat="1" applyFont="1"/>
    <xf numFmtId="0" fontId="0" fillId="0" borderId="0" xfId="0" applyFill="1"/>
    <xf numFmtId="0" fontId="20" fillId="0" borderId="10" xfId="0" applyFont="1" applyBorder="1" applyAlignment="1">
      <alignment vertical="top" wrapText="1"/>
    </xf>
    <xf numFmtId="0" fontId="20" fillId="0" borderId="10" xfId="0" applyFont="1" applyBorder="1" applyAlignment="1">
      <alignment horizontal="left" vertical="top" wrapText="1"/>
    </xf>
    <xf numFmtId="171" fontId="20" fillId="0" borderId="10" xfId="8" applyNumberFormat="1" applyFont="1" applyBorder="1" applyAlignment="1">
      <alignment vertical="top" wrapText="1"/>
    </xf>
    <xf numFmtId="0" fontId="20" fillId="0" borderId="10" xfId="0" applyFont="1" applyBorder="1" applyAlignment="1">
      <alignment horizontal="center" vertical="top" wrapText="1"/>
    </xf>
    <xf numFmtId="0" fontId="61" fillId="6" borderId="10" xfId="0" applyFont="1" applyFill="1" applyBorder="1" applyAlignment="1">
      <alignment horizontal="center" vertical="top" wrapText="1"/>
    </xf>
    <xf numFmtId="0" fontId="61" fillId="0" borderId="10" xfId="0" applyFont="1" applyBorder="1" applyAlignment="1">
      <alignment horizontal="center" vertical="top" wrapText="1"/>
    </xf>
    <xf numFmtId="0" fontId="20" fillId="6" borderId="10" xfId="0" applyFont="1" applyFill="1" applyBorder="1" applyAlignment="1">
      <alignment horizontal="center" vertical="top" wrapText="1"/>
    </xf>
    <xf numFmtId="0" fontId="20" fillId="0" borderId="10" xfId="0" applyFont="1" applyFill="1" applyBorder="1" applyAlignment="1">
      <alignment vertical="top" wrapText="1"/>
    </xf>
    <xf numFmtId="0" fontId="20" fillId="0" borderId="10" xfId="0" applyFont="1" applyFill="1" applyBorder="1" applyAlignment="1">
      <alignment horizontal="left" vertical="top" wrapText="1"/>
    </xf>
    <xf numFmtId="171" fontId="20" fillId="0" borderId="10" xfId="8" applyNumberFormat="1" applyFont="1" applyFill="1" applyBorder="1" applyAlignment="1">
      <alignment vertical="top" wrapText="1"/>
    </xf>
    <xf numFmtId="0" fontId="20" fillId="0" borderId="10" xfId="0" applyFont="1" applyFill="1" applyBorder="1" applyAlignment="1">
      <alignment horizontal="center" vertical="top" wrapText="1"/>
    </xf>
    <xf numFmtId="0" fontId="61" fillId="0" borderId="10" xfId="0" applyFont="1" applyFill="1" applyBorder="1" applyAlignment="1">
      <alignment horizontal="center" vertical="top" wrapText="1"/>
    </xf>
    <xf numFmtId="10" fontId="20" fillId="0" borderId="10" xfId="0" applyNumberFormat="1" applyFont="1" applyFill="1" applyBorder="1" applyAlignment="1">
      <alignment horizontal="left" vertical="top" wrapText="1"/>
    </xf>
    <xf numFmtId="0" fontId="19" fillId="0" borderId="10" xfId="0" applyFont="1" applyFill="1" applyBorder="1" applyAlignment="1">
      <alignment horizontal="center" vertical="top" wrapText="1"/>
    </xf>
    <xf numFmtId="0" fontId="19" fillId="18" borderId="10" xfId="0" applyFont="1" applyFill="1" applyBorder="1" applyAlignment="1">
      <alignment horizontal="center" vertical="center" wrapText="1"/>
    </xf>
    <xf numFmtId="171" fontId="19" fillId="18" borderId="10" xfId="8" applyNumberFormat="1" applyFont="1" applyFill="1" applyBorder="1" applyAlignment="1">
      <alignment horizontal="center" vertical="center" wrapText="1"/>
    </xf>
    <xf numFmtId="0" fontId="20" fillId="0" borderId="31" xfId="0" applyFont="1" applyBorder="1" applyAlignment="1">
      <alignment vertical="top" wrapText="1"/>
    </xf>
    <xf numFmtId="0" fontId="20" fillId="0" borderId="31" xfId="0" applyFont="1" applyFill="1" applyBorder="1" applyAlignment="1">
      <alignment vertical="top" wrapText="1"/>
    </xf>
    <xf numFmtId="0" fontId="0" fillId="0" borderId="3" xfId="0" applyBorder="1"/>
    <xf numFmtId="0" fontId="0" fillId="0" borderId="0" xfId="0" applyBorder="1"/>
    <xf numFmtId="0" fontId="62" fillId="0" borderId="0" xfId="0" applyFont="1"/>
    <xf numFmtId="0" fontId="21" fillId="2" borderId="0" xfId="0" applyFont="1" applyFill="1" applyAlignment="1">
      <alignment horizontal="center"/>
    </xf>
    <xf numFmtId="0" fontId="0" fillId="2" borderId="0" xfId="0" applyFill="1"/>
    <xf numFmtId="0" fontId="20" fillId="0" borderId="32" xfId="0" applyFont="1" applyFill="1" applyBorder="1" applyAlignment="1">
      <alignment vertical="top" wrapText="1"/>
    </xf>
    <xf numFmtId="0" fontId="20" fillId="0" borderId="33" xfId="0" applyFont="1" applyFill="1" applyBorder="1" applyAlignment="1">
      <alignment vertical="top" wrapText="1"/>
    </xf>
    <xf numFmtId="0" fontId="22" fillId="0" borderId="34" xfId="0" applyFont="1" applyFill="1" applyBorder="1" applyAlignment="1">
      <alignment horizontal="left" wrapText="1"/>
    </xf>
    <xf numFmtId="0" fontId="22" fillId="0" borderId="34" xfId="0" applyFont="1" applyFill="1" applyBorder="1" applyAlignment="1">
      <alignment horizontal="center" wrapText="1"/>
    </xf>
    <xf numFmtId="0" fontId="22" fillId="0" borderId="35" xfId="0" applyFont="1" applyFill="1" applyBorder="1" applyAlignment="1">
      <alignment horizontal="center" vertical="top" wrapText="1"/>
    </xf>
    <xf numFmtId="0" fontId="22" fillId="0" borderId="36" xfId="0" applyFont="1" applyFill="1" applyBorder="1" applyAlignment="1">
      <alignment horizontal="center" vertical="top" wrapText="1"/>
    </xf>
    <xf numFmtId="0" fontId="22" fillId="0" borderId="37" xfId="0" applyFont="1" applyFill="1" applyBorder="1" applyAlignment="1">
      <alignment horizontal="center" wrapText="1"/>
    </xf>
    <xf numFmtId="0" fontId="20" fillId="0" borderId="35" xfId="0" applyFont="1" applyFill="1" applyBorder="1" applyAlignment="1">
      <alignment horizontal="center" vertical="top" wrapText="1"/>
    </xf>
    <xf numFmtId="0" fontId="20" fillId="0" borderId="36" xfId="0" applyFont="1" applyFill="1" applyBorder="1" applyAlignment="1">
      <alignment horizontal="center" vertical="top" wrapText="1"/>
    </xf>
    <xf numFmtId="0" fontId="0" fillId="0" borderId="37" xfId="0" applyFill="1" applyBorder="1" applyAlignment="1">
      <alignment wrapText="1"/>
    </xf>
    <xf numFmtId="0" fontId="22" fillId="0" borderId="38" xfId="0" applyFont="1" applyFill="1" applyBorder="1" applyAlignment="1">
      <alignment horizontal="center" vertical="top" wrapText="1"/>
    </xf>
    <xf numFmtId="0" fontId="22" fillId="0" borderId="39" xfId="0" applyFont="1" applyFill="1" applyBorder="1" applyAlignment="1">
      <alignment horizontal="center" vertical="top" wrapText="1"/>
    </xf>
    <xf numFmtId="0" fontId="0" fillId="0" borderId="40" xfId="0" applyFill="1" applyBorder="1" applyAlignment="1">
      <alignment wrapText="1"/>
    </xf>
    <xf numFmtId="0" fontId="20" fillId="0" borderId="41" xfId="0" applyFont="1" applyBorder="1" applyAlignment="1">
      <alignment vertical="top" wrapText="1"/>
    </xf>
    <xf numFmtId="0" fontId="20" fillId="0" borderId="41" xfId="0" applyFont="1" applyBorder="1" applyAlignment="1">
      <alignment horizontal="left" vertical="top" wrapText="1"/>
    </xf>
    <xf numFmtId="171" fontId="20" fillId="0" borderId="41" xfId="8" applyNumberFormat="1" applyFont="1" applyBorder="1" applyAlignment="1">
      <alignment vertical="top" wrapText="1"/>
    </xf>
    <xf numFmtId="0" fontId="20" fillId="0" borderId="41" xfId="0" applyFont="1" applyBorder="1" applyAlignment="1">
      <alignment horizontal="center" vertical="top" wrapText="1"/>
    </xf>
    <xf numFmtId="0" fontId="62" fillId="0" borderId="0" xfId="0" applyFont="1" applyAlignment="1">
      <alignment horizontal="left" vertical="center"/>
    </xf>
    <xf numFmtId="0" fontId="20" fillId="0" borderId="41" xfId="0" applyFont="1" applyFill="1" applyBorder="1" applyAlignment="1">
      <alignment vertical="top" wrapText="1"/>
    </xf>
    <xf numFmtId="0" fontId="20" fillId="0" borderId="41" xfId="0" applyFont="1" applyFill="1" applyBorder="1" applyAlignment="1">
      <alignment horizontal="left" vertical="top" wrapText="1"/>
    </xf>
    <xf numFmtId="171" fontId="20" fillId="0" borderId="41" xfId="8" applyNumberFormat="1" applyFont="1" applyFill="1" applyBorder="1" applyAlignment="1">
      <alignment vertical="top" wrapText="1"/>
    </xf>
    <xf numFmtId="0" fontId="20" fillId="0" borderId="41" xfId="0" applyFont="1" applyFill="1" applyBorder="1" applyAlignment="1">
      <alignment horizontal="center" vertical="top" wrapText="1"/>
    </xf>
    <xf numFmtId="0" fontId="62" fillId="0" borderId="0" xfId="0" applyFont="1" applyFill="1" applyAlignment="1">
      <alignment horizontal="left" vertical="center"/>
    </xf>
    <xf numFmtId="0" fontId="62" fillId="0" borderId="0" xfId="0" applyFont="1" applyFill="1"/>
    <xf numFmtId="171" fontId="0" fillId="0" borderId="0" xfId="0" applyNumberFormat="1" applyFill="1"/>
    <xf numFmtId="10" fontId="20" fillId="0" borderId="41" xfId="0" applyNumberFormat="1" applyFont="1" applyFill="1" applyBorder="1" applyAlignment="1">
      <alignment horizontal="left" vertical="top" wrapText="1"/>
    </xf>
    <xf numFmtId="171" fontId="20" fillId="0" borderId="42" xfId="8" applyNumberFormat="1" applyFont="1" applyBorder="1" applyAlignment="1">
      <alignment vertical="top" wrapText="1"/>
    </xf>
    <xf numFmtId="171" fontId="19" fillId="18" borderId="42" xfId="8" applyNumberFormat="1" applyFont="1" applyFill="1" applyBorder="1" applyAlignment="1">
      <alignment horizontal="center" vertical="center" wrapText="1"/>
    </xf>
    <xf numFmtId="0" fontId="0" fillId="0" borderId="15" xfId="0" applyBorder="1"/>
    <xf numFmtId="0" fontId="20" fillId="0" borderId="37" xfId="0" applyFont="1" applyFill="1" applyBorder="1" applyAlignment="1">
      <alignment wrapText="1"/>
    </xf>
    <xf numFmtId="0" fontId="19" fillId="0" borderId="1" xfId="0" applyFont="1" applyFill="1" applyBorder="1" applyAlignment="1">
      <alignment horizontal="center" vertical="top" wrapText="1"/>
    </xf>
    <xf numFmtId="171" fontId="19" fillId="0" borderId="43" xfId="8" applyNumberFormat="1" applyFont="1" applyFill="1" applyBorder="1" applyAlignment="1">
      <alignment horizontal="center" vertical="top" wrapText="1"/>
    </xf>
    <xf numFmtId="171" fontId="19" fillId="0" borderId="41" xfId="8" applyNumberFormat="1" applyFont="1" applyFill="1" applyBorder="1" applyAlignment="1">
      <alignment horizontal="center" vertical="top" wrapText="1"/>
    </xf>
    <xf numFmtId="0" fontId="0" fillId="0" borderId="4" xfId="0" applyBorder="1"/>
    <xf numFmtId="0" fontId="0" fillId="0" borderId="44" xfId="0" applyBorder="1"/>
    <xf numFmtId="171" fontId="0" fillId="0" borderId="44" xfId="0" applyNumberFormat="1" applyBorder="1"/>
    <xf numFmtId="171" fontId="0" fillId="0" borderId="45" xfId="0" applyNumberFormat="1" applyBorder="1"/>
    <xf numFmtId="0" fontId="0" fillId="0" borderId="0" xfId="0" applyAlignment="1">
      <alignment horizontal="left"/>
    </xf>
    <xf numFmtId="0" fontId="0" fillId="2" borderId="0" xfId="0" applyFill="1" applyAlignment="1">
      <alignment horizontal="left"/>
    </xf>
    <xf numFmtId="0" fontId="21" fillId="2" borderId="0" xfId="0" applyFont="1" applyFill="1" applyAlignment="1">
      <alignment horizontal="left"/>
    </xf>
    <xf numFmtId="0" fontId="20" fillId="2" borderId="34" xfId="0" applyFont="1" applyFill="1" applyBorder="1" applyAlignment="1">
      <alignment horizontal="left" vertical="top" wrapText="1"/>
    </xf>
    <xf numFmtId="0" fontId="22" fillId="2" borderId="34" xfId="0" applyFont="1" applyFill="1" applyBorder="1" applyAlignment="1">
      <alignment horizontal="center" vertical="top" wrapText="1"/>
    </xf>
    <xf numFmtId="0" fontId="22" fillId="2" borderId="37" xfId="0" applyFont="1" applyFill="1" applyBorder="1" applyAlignment="1">
      <alignment horizontal="left" vertical="top" wrapText="1"/>
    </xf>
    <xf numFmtId="0" fontId="22" fillId="2" borderId="37" xfId="0" applyFont="1" applyFill="1" applyBorder="1" applyAlignment="1">
      <alignment horizontal="center" vertical="top" wrapText="1"/>
    </xf>
    <xf numFmtId="0" fontId="0" fillId="2" borderId="40" xfId="0" applyFill="1" applyBorder="1" applyAlignment="1">
      <alignment horizontal="left" vertical="top" wrapText="1"/>
    </xf>
    <xf numFmtId="0" fontId="22" fillId="2" borderId="40" xfId="0" applyFont="1" applyFill="1" applyBorder="1" applyAlignment="1">
      <alignment horizontal="center" vertical="top" wrapText="1"/>
    </xf>
    <xf numFmtId="0" fontId="20" fillId="2" borderId="34" xfId="0" applyFont="1" applyFill="1" applyBorder="1" applyAlignment="1">
      <alignment horizontal="center" vertical="top" wrapText="1"/>
    </xf>
    <xf numFmtId="0" fontId="20" fillId="2" borderId="40" xfId="0" applyFont="1" applyFill="1" applyBorder="1" applyAlignment="1">
      <alignment horizontal="center" vertical="top" wrapText="1"/>
    </xf>
    <xf numFmtId="171" fontId="22" fillId="2" borderId="41" xfId="8" applyNumberFormat="1" applyFont="1" applyFill="1" applyBorder="1" applyAlignment="1">
      <alignment horizontal="center" vertical="center" wrapText="1"/>
    </xf>
    <xf numFmtId="43" fontId="22" fillId="2" borderId="41" xfId="0" applyNumberFormat="1" applyFont="1" applyFill="1" applyBorder="1" applyAlignment="1">
      <alignment horizontal="center" vertical="top" wrapText="1"/>
    </xf>
    <xf numFmtId="0" fontId="24" fillId="2" borderId="34" xfId="0" applyFont="1" applyFill="1" applyBorder="1" applyAlignment="1">
      <alignment vertical="top" wrapText="1"/>
    </xf>
    <xf numFmtId="0" fontId="24" fillId="2" borderId="37" xfId="0" applyFont="1" applyFill="1" applyBorder="1" applyAlignment="1">
      <alignment horizontal="left" vertical="top" wrapText="1"/>
    </xf>
    <xf numFmtId="0" fontId="24" fillId="2" borderId="37" xfId="0" applyFont="1" applyFill="1" applyBorder="1" applyAlignment="1">
      <alignment vertical="top" wrapText="1"/>
    </xf>
    <xf numFmtId="0" fontId="0" fillId="2" borderId="37" xfId="0" applyFill="1" applyBorder="1" applyAlignment="1">
      <alignment horizontal="left" vertical="top" wrapText="1"/>
    </xf>
    <xf numFmtId="0" fontId="0" fillId="2" borderId="37" xfId="0" applyFill="1" applyBorder="1" applyAlignment="1">
      <alignment vertical="top" wrapText="1"/>
    </xf>
    <xf numFmtId="0" fontId="24" fillId="2" borderId="40" xfId="0" applyFont="1" applyFill="1" applyBorder="1" applyAlignment="1">
      <alignment vertical="top" wrapText="1"/>
    </xf>
    <xf numFmtId="0" fontId="0" fillId="2" borderId="40" xfId="0" applyFill="1" applyBorder="1" applyAlignment="1">
      <alignment vertical="top" wrapText="1"/>
    </xf>
    <xf numFmtId="0" fontId="25" fillId="2" borderId="34" xfId="0" applyFont="1" applyFill="1" applyBorder="1" applyAlignment="1">
      <alignment horizontal="center" vertical="top" wrapText="1"/>
    </xf>
    <xf numFmtId="0" fontId="25" fillId="2" borderId="40" xfId="0" applyFont="1" applyFill="1" applyBorder="1" applyAlignment="1">
      <alignment horizontal="center" vertical="top" wrapText="1"/>
    </xf>
    <xf numFmtId="0" fontId="19" fillId="2" borderId="32" xfId="0" applyFont="1" applyFill="1" applyBorder="1" applyAlignment="1">
      <alignment vertical="top" wrapText="1"/>
    </xf>
    <xf numFmtId="0" fontId="19" fillId="2" borderId="33" xfId="0" applyFont="1" applyFill="1" applyBorder="1" applyAlignment="1">
      <alignment vertical="top" wrapText="1"/>
    </xf>
    <xf numFmtId="0" fontId="19" fillId="2" borderId="0" xfId="0" applyFont="1" applyFill="1" applyAlignment="1">
      <alignment horizontal="left"/>
    </xf>
    <xf numFmtId="0" fontId="24" fillId="2" borderId="34" xfId="0" applyFont="1" applyFill="1" applyBorder="1" applyAlignment="1">
      <alignment horizontal="center" vertical="top" wrapText="1"/>
    </xf>
    <xf numFmtId="0" fontId="24" fillId="2" borderId="37" xfId="0" applyFont="1" applyFill="1" applyBorder="1" applyAlignment="1">
      <alignment horizontal="center" vertical="top" wrapText="1"/>
    </xf>
    <xf numFmtId="0" fontId="24" fillId="2" borderId="40" xfId="0" applyFont="1" applyFill="1" applyBorder="1" applyAlignment="1">
      <alignment horizontal="center" vertical="top" wrapText="1"/>
    </xf>
    <xf numFmtId="4" fontId="25" fillId="2" borderId="40" xfId="0" applyNumberFormat="1" applyFont="1" applyFill="1" applyBorder="1" applyAlignment="1">
      <alignment horizontal="center" vertical="top" wrapText="1"/>
    </xf>
    <xf numFmtId="0" fontId="26" fillId="2" borderId="34" xfId="0" applyFont="1" applyFill="1" applyBorder="1" applyAlignment="1">
      <alignment horizontal="center" vertical="top" wrapText="1"/>
    </xf>
    <xf numFmtId="0" fontId="22" fillId="2" borderId="34" xfId="0" applyFont="1" applyFill="1" applyBorder="1" applyAlignment="1">
      <alignment vertical="top" wrapText="1"/>
    </xf>
    <xf numFmtId="0" fontId="22" fillId="2" borderId="37" xfId="0" applyFont="1" applyFill="1" applyBorder="1" applyAlignment="1">
      <alignment vertical="top" wrapText="1"/>
    </xf>
    <xf numFmtId="0" fontId="22" fillId="2" borderId="40" xfId="0" applyFont="1" applyFill="1" applyBorder="1" applyAlignment="1">
      <alignment vertical="top" wrapText="1"/>
    </xf>
    <xf numFmtId="0" fontId="21" fillId="2" borderId="0" xfId="0" applyFont="1" applyFill="1" applyAlignment="1">
      <alignment horizontal="justify"/>
    </xf>
    <xf numFmtId="0" fontId="20" fillId="2" borderId="41" xfId="0" applyFont="1" applyFill="1" applyBorder="1" applyAlignment="1">
      <alignment horizontal="left" vertical="top" wrapText="1"/>
    </xf>
    <xf numFmtId="171" fontId="20" fillId="2" borderId="41" xfId="8" applyNumberFormat="1" applyFont="1" applyFill="1" applyBorder="1" applyAlignment="1">
      <alignment horizontal="left" vertical="center" wrapText="1"/>
    </xf>
    <xf numFmtId="171" fontId="20" fillId="2" borderId="41" xfId="8" applyNumberFormat="1" applyFont="1" applyFill="1" applyBorder="1" applyAlignment="1">
      <alignment vertical="center" wrapText="1"/>
    </xf>
    <xf numFmtId="0" fontId="0" fillId="2" borderId="0" xfId="0" applyFill="1" applyAlignment="1">
      <alignment horizontal="justify"/>
    </xf>
    <xf numFmtId="0" fontId="22" fillId="2" borderId="34" xfId="0" applyFont="1" applyFill="1" applyBorder="1" applyAlignment="1">
      <alignment horizontal="center" vertical="center" wrapText="1"/>
    </xf>
    <xf numFmtId="0" fontId="22" fillId="2" borderId="40" xfId="0" applyFont="1" applyFill="1" applyBorder="1" applyAlignment="1">
      <alignment horizontal="center" vertical="center" wrapText="1"/>
    </xf>
    <xf numFmtId="0" fontId="20" fillId="2" borderId="41" xfId="0" applyFont="1" applyFill="1" applyBorder="1" applyAlignment="1">
      <alignment vertical="top" wrapText="1"/>
    </xf>
    <xf numFmtId="171" fontId="20" fillId="2" borderId="41" xfId="8" applyNumberFormat="1" applyFont="1" applyFill="1" applyBorder="1" applyAlignment="1">
      <alignment vertical="top" wrapText="1"/>
    </xf>
    <xf numFmtId="0" fontId="20" fillId="2" borderId="41" xfId="0" applyFont="1" applyFill="1" applyBorder="1" applyAlignment="1">
      <alignment horizontal="center" vertical="top" wrapText="1"/>
    </xf>
    <xf numFmtId="0" fontId="12" fillId="0" borderId="0" xfId="0" applyFont="1" applyAlignment="1">
      <alignment horizontal="center"/>
    </xf>
    <xf numFmtId="0" fontId="22" fillId="0" borderId="41" xfId="0" applyFont="1" applyFill="1" applyBorder="1" applyAlignment="1">
      <alignment horizontal="center" vertical="top" wrapText="1"/>
    </xf>
    <xf numFmtId="0" fontId="27" fillId="2" borderId="0" xfId="0" applyFont="1" applyFill="1" applyAlignment="1">
      <alignment horizontal="left"/>
    </xf>
    <xf numFmtId="0" fontId="22" fillId="0" borderId="41" xfId="0" applyFont="1" applyFill="1" applyBorder="1" applyAlignment="1">
      <alignment horizontal="left" vertical="top" wrapText="1"/>
    </xf>
    <xf numFmtId="0" fontId="20" fillId="2" borderId="46" xfId="0" applyFont="1" applyFill="1" applyBorder="1" applyAlignment="1">
      <alignment wrapText="1"/>
    </xf>
    <xf numFmtId="0" fontId="20" fillId="2" borderId="43" xfId="0" applyFont="1" applyFill="1" applyBorder="1" applyAlignment="1">
      <alignment wrapText="1"/>
    </xf>
    <xf numFmtId="0" fontId="20" fillId="2" borderId="46" xfId="0" applyFont="1" applyFill="1" applyBorder="1" applyAlignment="1">
      <alignment vertical="top" wrapText="1"/>
    </xf>
    <xf numFmtId="0" fontId="20" fillId="2" borderId="43" xfId="0" applyFont="1" applyFill="1" applyBorder="1" applyAlignment="1">
      <alignment vertical="top" wrapText="1"/>
    </xf>
    <xf numFmtId="0" fontId="19" fillId="0" borderId="46" xfId="0" applyFont="1" applyFill="1" applyBorder="1" applyAlignment="1">
      <alignment vertical="top" wrapText="1"/>
    </xf>
    <xf numFmtId="0" fontId="19" fillId="0" borderId="43" xfId="0" applyFont="1" applyFill="1" applyBorder="1" applyAlignment="1">
      <alignment vertical="top" wrapText="1"/>
    </xf>
    <xf numFmtId="0" fontId="22" fillId="0" borderId="46" xfId="0" applyFont="1" applyFill="1" applyBorder="1" applyAlignment="1">
      <alignment vertical="top" wrapText="1"/>
    </xf>
    <xf numFmtId="0" fontId="22" fillId="0" borderId="43" xfId="0" applyFont="1" applyFill="1" applyBorder="1" applyAlignment="1">
      <alignment vertical="top" wrapText="1"/>
    </xf>
    <xf numFmtId="0" fontId="20" fillId="0" borderId="34" xfId="0" applyFont="1" applyFill="1" applyBorder="1" applyAlignment="1">
      <alignment horizontal="left" vertical="top" wrapText="1"/>
    </xf>
    <xf numFmtId="0" fontId="19" fillId="0" borderId="34" xfId="0" applyFont="1" applyFill="1" applyBorder="1" applyAlignment="1">
      <alignment horizontal="left" vertical="top" wrapText="1"/>
    </xf>
    <xf numFmtId="0" fontId="22" fillId="0" borderId="32" xfId="0" applyFont="1" applyFill="1" applyBorder="1" applyAlignment="1">
      <alignment vertical="top" wrapText="1"/>
    </xf>
    <xf numFmtId="0" fontId="22" fillId="0" borderId="33" xfId="0" applyFont="1" applyFill="1" applyBorder="1" applyAlignment="1">
      <alignment vertical="top" wrapText="1"/>
    </xf>
    <xf numFmtId="0" fontId="20" fillId="0" borderId="46" xfId="0" applyFont="1" applyFill="1" applyBorder="1" applyAlignment="1">
      <alignment vertical="top" wrapText="1"/>
    </xf>
    <xf numFmtId="0" fontId="20" fillId="0" borderId="43" xfId="0" applyFont="1" applyFill="1" applyBorder="1" applyAlignment="1">
      <alignment vertical="top" wrapText="1"/>
    </xf>
    <xf numFmtId="0" fontId="22" fillId="2" borderId="41" xfId="0" applyFont="1" applyFill="1" applyBorder="1" applyAlignment="1">
      <alignment horizontal="left" vertical="top" wrapText="1"/>
    </xf>
    <xf numFmtId="0" fontId="22" fillId="2" borderId="46" xfId="0" applyFont="1" applyFill="1" applyBorder="1" applyAlignment="1">
      <alignment vertical="top" wrapText="1"/>
    </xf>
    <xf numFmtId="0" fontId="22" fillId="2" borderId="43" xfId="0" applyFont="1" applyFill="1" applyBorder="1" applyAlignment="1">
      <alignment vertical="top" wrapText="1"/>
    </xf>
    <xf numFmtId="0" fontId="22" fillId="2" borderId="41" xfId="0" applyFont="1" applyFill="1" applyBorder="1" applyAlignment="1">
      <alignment horizontal="center" vertical="top" wrapText="1"/>
    </xf>
    <xf numFmtId="10" fontId="20" fillId="2" borderId="41" xfId="7" applyNumberFormat="1" applyFont="1" applyFill="1" applyBorder="1" applyAlignment="1">
      <alignment horizontal="center" vertical="top" wrapText="1"/>
    </xf>
    <xf numFmtId="43" fontId="20" fillId="2" borderId="41" xfId="0" applyNumberFormat="1" applyFont="1" applyFill="1" applyBorder="1" applyAlignment="1">
      <alignment vertical="top" wrapText="1"/>
    </xf>
    <xf numFmtId="10" fontId="22" fillId="0" borderId="41" xfId="7" applyNumberFormat="1" applyFont="1" applyFill="1" applyBorder="1" applyAlignment="1">
      <alignment horizontal="center" vertical="top" wrapText="1"/>
    </xf>
    <xf numFmtId="43" fontId="22" fillId="0" borderId="41" xfId="0" applyNumberFormat="1" applyFont="1" applyFill="1" applyBorder="1" applyAlignment="1">
      <alignment vertical="top" wrapText="1"/>
    </xf>
    <xf numFmtId="0" fontId="22" fillId="2" borderId="46" xfId="0" applyFont="1" applyFill="1" applyBorder="1" applyAlignment="1">
      <alignment horizontal="left" vertical="top" wrapText="1"/>
    </xf>
    <xf numFmtId="0" fontId="22" fillId="2" borderId="47" xfId="0" applyFont="1" applyFill="1" applyBorder="1" applyAlignment="1">
      <alignment vertical="top" wrapText="1"/>
    </xf>
    <xf numFmtId="10" fontId="21" fillId="2" borderId="43" xfId="0" applyNumberFormat="1" applyFont="1" applyFill="1" applyBorder="1" applyAlignment="1">
      <alignment horizontal="center" vertical="top" wrapText="1"/>
    </xf>
    <xf numFmtId="10" fontId="29" fillId="2" borderId="43" xfId="0" applyNumberFormat="1" applyFont="1" applyFill="1" applyBorder="1" applyAlignment="1">
      <alignment horizontal="center" vertical="top" wrapText="1"/>
    </xf>
    <xf numFmtId="10" fontId="30" fillId="0" borderId="43" xfId="0" applyNumberFormat="1" applyFont="1" applyFill="1" applyBorder="1" applyAlignment="1">
      <alignment horizontal="center" vertical="top" wrapText="1"/>
    </xf>
    <xf numFmtId="10" fontId="23" fillId="2" borderId="43" xfId="7" applyNumberFormat="1" applyFont="1" applyFill="1" applyBorder="1" applyAlignment="1">
      <alignment horizontal="center" vertical="top" wrapText="1"/>
    </xf>
    <xf numFmtId="10" fontId="21" fillId="2" borderId="43" xfId="7" applyNumberFormat="1" applyFont="1" applyFill="1" applyBorder="1" applyAlignment="1">
      <alignment horizontal="center" vertical="top" wrapText="1"/>
    </xf>
    <xf numFmtId="10" fontId="29" fillId="2" borderId="43" xfId="7" applyNumberFormat="1" applyFont="1" applyFill="1" applyBorder="1" applyAlignment="1">
      <alignment horizontal="center" vertical="top" wrapText="1"/>
    </xf>
    <xf numFmtId="0" fontId="22" fillId="2" borderId="34" xfId="0" applyFont="1" applyFill="1" applyBorder="1" applyAlignment="1">
      <alignment horizontal="left" vertical="top" wrapText="1"/>
    </xf>
    <xf numFmtId="10" fontId="23" fillId="0" borderId="43" xfId="7" applyNumberFormat="1" applyFont="1" applyFill="1" applyBorder="1" applyAlignment="1">
      <alignment horizontal="center" vertical="top" wrapText="1"/>
    </xf>
    <xf numFmtId="10" fontId="23" fillId="0" borderId="43" xfId="0" applyNumberFormat="1" applyFont="1" applyFill="1" applyBorder="1" applyAlignment="1">
      <alignment horizontal="center" vertical="top" wrapText="1"/>
    </xf>
    <xf numFmtId="182" fontId="21" fillId="2" borderId="43" xfId="7" applyNumberFormat="1" applyFont="1" applyFill="1" applyBorder="1" applyAlignment="1">
      <alignment horizontal="center" vertical="top" wrapText="1"/>
    </xf>
    <xf numFmtId="10" fontId="20" fillId="0" borderId="41" xfId="0" applyNumberFormat="1" applyFont="1" applyBorder="1" applyAlignment="1">
      <alignment horizontal="center" vertical="top" wrapText="1"/>
    </xf>
    <xf numFmtId="173" fontId="0" fillId="0" borderId="0" xfId="1" applyNumberFormat="1" applyFont="1"/>
    <xf numFmtId="171" fontId="22" fillId="0" borderId="41" xfId="0" applyNumberFormat="1" applyFont="1" applyFill="1" applyBorder="1" applyAlignment="1">
      <alignment vertical="top" wrapText="1"/>
    </xf>
    <xf numFmtId="173" fontId="0" fillId="0" borderId="0" xfId="0" applyNumberFormat="1"/>
    <xf numFmtId="43" fontId="0" fillId="0" borderId="0" xfId="0" applyNumberFormat="1"/>
    <xf numFmtId="0" fontId="21" fillId="0" borderId="0" xfId="0" applyFont="1" applyAlignment="1">
      <alignment horizontal="left"/>
    </xf>
    <xf numFmtId="0" fontId="31" fillId="12" borderId="0" xfId="0" applyFont="1" applyFill="1" applyBorder="1" applyAlignment="1">
      <alignment horizontal="center" vertical="center"/>
    </xf>
    <xf numFmtId="0" fontId="31" fillId="0" borderId="0" xfId="0" applyFont="1" applyAlignment="1">
      <alignment horizontal="center" vertical="center" wrapText="1"/>
    </xf>
    <xf numFmtId="0" fontId="63" fillId="20" borderId="2" xfId="0" applyFont="1" applyFill="1" applyBorder="1" applyAlignment="1">
      <alignment horizontal="center" vertical="center" wrapText="1"/>
    </xf>
    <xf numFmtId="0" fontId="63" fillId="20" borderId="2" xfId="0" applyFont="1" applyFill="1" applyBorder="1" applyAlignment="1">
      <alignment horizontal="center" vertical="center"/>
    </xf>
    <xf numFmtId="0" fontId="63" fillId="20" borderId="45" xfId="0" applyFont="1" applyFill="1" applyBorder="1" applyAlignment="1">
      <alignment horizontal="center" vertical="center"/>
    </xf>
    <xf numFmtId="0" fontId="63" fillId="12" borderId="2" xfId="0" applyFont="1" applyFill="1" applyBorder="1" applyAlignment="1">
      <alignment horizontal="center" vertical="center"/>
    </xf>
    <xf numFmtId="0" fontId="63" fillId="20" borderId="15" xfId="0" applyFont="1" applyFill="1" applyBorder="1" applyAlignment="1">
      <alignment horizontal="center" vertical="center"/>
    </xf>
    <xf numFmtId="0" fontId="64" fillId="21" borderId="70" xfId="0" applyFont="1" applyFill="1" applyBorder="1" applyAlignment="1">
      <alignment horizontal="center" vertical="center" wrapText="1"/>
    </xf>
    <xf numFmtId="0" fontId="65" fillId="21" borderId="71" xfId="0" applyFont="1" applyFill="1" applyBorder="1" applyAlignment="1">
      <alignment horizontal="center" vertical="center" wrapText="1"/>
    </xf>
    <xf numFmtId="0" fontId="65" fillId="21" borderId="2" xfId="0" applyFont="1" applyFill="1" applyBorder="1" applyAlignment="1">
      <alignment horizontal="center" vertical="center" wrapText="1"/>
    </xf>
    <xf numFmtId="0" fontId="65" fillId="21" borderId="8" xfId="0" applyFont="1" applyFill="1" applyBorder="1" applyAlignment="1">
      <alignment horizontal="center" vertical="center" wrapText="1"/>
    </xf>
    <xf numFmtId="1" fontId="31" fillId="12" borderId="0" xfId="0" applyNumberFormat="1" applyFont="1" applyFill="1" applyBorder="1" applyAlignment="1">
      <alignment horizontal="center" vertical="center"/>
    </xf>
    <xf numFmtId="0" fontId="14" fillId="17" borderId="0" xfId="0" applyFont="1" applyFill="1" applyBorder="1" applyAlignment="1">
      <alignment horizontal="left" vertical="center"/>
    </xf>
    <xf numFmtId="10" fontId="14" fillId="17" borderId="0" xfId="7" applyNumberFormat="1" applyFont="1" applyFill="1" applyBorder="1" applyAlignment="1">
      <alignment horizontal="center" vertical="center"/>
    </xf>
    <xf numFmtId="0" fontId="14" fillId="17" borderId="0" xfId="0" applyFont="1" applyFill="1" applyBorder="1"/>
    <xf numFmtId="171" fontId="14" fillId="17" borderId="0" xfId="0" applyNumberFormat="1" applyFont="1" applyFill="1" applyBorder="1" applyAlignment="1">
      <alignment horizontal="center" vertical="center"/>
    </xf>
    <xf numFmtId="0" fontId="14" fillId="17" borderId="0" xfId="8" applyNumberFormat="1" applyFont="1" applyFill="1" applyBorder="1" applyAlignment="1">
      <alignment horizontal="center" vertical="center"/>
    </xf>
    <xf numFmtId="4" fontId="14" fillId="17" borderId="0" xfId="0" applyNumberFormat="1" applyFont="1" applyFill="1" applyBorder="1" applyAlignment="1">
      <alignment vertical="center"/>
    </xf>
    <xf numFmtId="14" fontId="14" fillId="17" borderId="0" xfId="0" applyNumberFormat="1" applyFont="1" applyFill="1" applyBorder="1" applyAlignment="1">
      <alignment horizontal="center" vertical="center"/>
    </xf>
    <xf numFmtId="4" fontId="14" fillId="17" borderId="0" xfId="0" applyNumberFormat="1" applyFont="1" applyFill="1" applyBorder="1" applyAlignment="1">
      <alignment horizontal="center" vertical="center"/>
    </xf>
    <xf numFmtId="0" fontId="32" fillId="12" borderId="0" xfId="0" applyFont="1" applyFill="1" applyBorder="1" applyAlignment="1">
      <alignment horizontal="center" vertical="center"/>
    </xf>
    <xf numFmtId="0" fontId="65" fillId="21" borderId="49" xfId="0" applyFont="1" applyFill="1" applyBorder="1" applyAlignment="1">
      <alignment horizontal="center" vertical="center" wrapText="1"/>
    </xf>
    <xf numFmtId="0" fontId="65" fillId="21" borderId="72" xfId="0" applyFont="1" applyFill="1" applyBorder="1" applyAlignment="1">
      <alignment horizontal="center" vertical="center" wrapText="1"/>
    </xf>
    <xf numFmtId="0" fontId="65" fillId="21" borderId="50" xfId="0" applyFont="1" applyFill="1" applyBorder="1" applyAlignment="1">
      <alignment horizontal="center" vertical="center" wrapText="1"/>
    </xf>
    <xf numFmtId="0" fontId="65" fillId="21" borderId="73" xfId="0" applyFont="1" applyFill="1" applyBorder="1" applyAlignment="1">
      <alignment horizontal="center" vertical="center" wrapText="1"/>
    </xf>
    <xf numFmtId="171" fontId="20" fillId="0" borderId="46" xfId="8" applyNumberFormat="1" applyFont="1" applyBorder="1" applyAlignment="1">
      <alignment horizontal="center" vertical="top" wrapText="1"/>
    </xf>
    <xf numFmtId="171" fontId="20" fillId="0" borderId="43" xfId="8" applyNumberFormat="1" applyFont="1" applyBorder="1" applyAlignment="1">
      <alignment horizontal="center" vertical="top" wrapText="1"/>
    </xf>
    <xf numFmtId="0" fontId="22" fillId="0" borderId="46" xfId="0" applyFont="1" applyFill="1" applyBorder="1" applyAlignment="1">
      <alignment vertical="top" wrapText="1"/>
    </xf>
    <xf numFmtId="0" fontId="22" fillId="0" borderId="47" xfId="0" applyFont="1" applyFill="1" applyBorder="1" applyAlignment="1">
      <alignment vertical="top" wrapText="1"/>
    </xf>
    <xf numFmtId="43" fontId="22" fillId="0" borderId="46" xfId="0" applyNumberFormat="1" applyFont="1" applyFill="1" applyBorder="1" applyAlignment="1">
      <alignment horizontal="center" vertical="top" wrapText="1"/>
    </xf>
    <xf numFmtId="0" fontId="22" fillId="0" borderId="43" xfId="0" applyFont="1" applyFill="1" applyBorder="1" applyAlignment="1">
      <alignment horizontal="center" vertical="top" wrapText="1"/>
    </xf>
    <xf numFmtId="171" fontId="20" fillId="0" borderId="46" xfId="0" applyNumberFormat="1" applyFont="1" applyBorder="1" applyAlignment="1">
      <alignment horizontal="center" vertical="top" wrapText="1"/>
    </xf>
    <xf numFmtId="0" fontId="20" fillId="0" borderId="43" xfId="0" applyFont="1" applyBorder="1" applyAlignment="1">
      <alignment horizontal="center" vertical="top" wrapText="1"/>
    </xf>
    <xf numFmtId="0" fontId="20" fillId="2" borderId="46" xfId="0" applyFont="1" applyFill="1" applyBorder="1" applyAlignment="1">
      <alignment horizontal="left" wrapText="1"/>
    </xf>
    <xf numFmtId="0" fontId="20" fillId="2" borderId="43" xfId="0" applyFont="1" applyFill="1" applyBorder="1" applyAlignment="1">
      <alignment horizontal="left" wrapText="1"/>
    </xf>
    <xf numFmtId="43" fontId="20" fillId="0" borderId="46" xfId="0" applyNumberFormat="1" applyFont="1" applyBorder="1" applyAlignment="1">
      <alignment horizontal="center" vertical="top" wrapText="1"/>
    </xf>
    <xf numFmtId="0" fontId="20" fillId="2" borderId="46" xfId="0" applyFont="1" applyFill="1" applyBorder="1" applyAlignment="1">
      <alignment vertical="top" wrapText="1"/>
    </xf>
    <xf numFmtId="0" fontId="20" fillId="2" borderId="47" xfId="0" applyFont="1" applyFill="1" applyBorder="1" applyAlignment="1">
      <alignment vertical="top" wrapText="1"/>
    </xf>
    <xf numFmtId="171" fontId="20" fillId="2" borderId="41" xfId="8" applyNumberFormat="1" applyFont="1" applyFill="1" applyBorder="1" applyAlignment="1">
      <alignment horizontal="center" wrapText="1"/>
    </xf>
    <xf numFmtId="0" fontId="19" fillId="0" borderId="46" xfId="0" applyFont="1" applyFill="1" applyBorder="1" applyAlignment="1">
      <alignment vertical="top" wrapText="1"/>
    </xf>
    <xf numFmtId="0" fontId="19" fillId="0" borderId="47" xfId="0" applyFont="1" applyFill="1" applyBorder="1" applyAlignment="1">
      <alignment vertical="top" wrapText="1"/>
    </xf>
    <xf numFmtId="43" fontId="22" fillId="0" borderId="43" xfId="0" applyNumberFormat="1" applyFont="1" applyFill="1" applyBorder="1" applyAlignment="1">
      <alignment horizontal="center" vertical="top" wrapText="1"/>
    </xf>
    <xf numFmtId="0" fontId="22" fillId="0" borderId="46" xfId="0" applyFont="1" applyFill="1" applyBorder="1" applyAlignment="1">
      <alignment horizontal="left" vertical="top" wrapText="1"/>
    </xf>
    <xf numFmtId="0" fontId="22" fillId="0" borderId="43" xfId="0" applyFont="1" applyFill="1" applyBorder="1" applyAlignment="1">
      <alignment horizontal="left" vertical="top" wrapText="1"/>
    </xf>
    <xf numFmtId="0" fontId="22" fillId="0" borderId="46" xfId="0" applyFont="1" applyFill="1" applyBorder="1" applyAlignment="1">
      <alignment horizontal="center" vertical="top" wrapText="1"/>
    </xf>
    <xf numFmtId="0" fontId="22" fillId="2" borderId="46" xfId="0" applyFont="1" applyFill="1" applyBorder="1" applyAlignment="1">
      <alignment horizontal="center" vertical="top" wrapText="1"/>
    </xf>
    <xf numFmtId="0" fontId="22" fillId="2" borderId="43" xfId="0" applyFont="1" applyFill="1" applyBorder="1" applyAlignment="1">
      <alignment horizontal="center" vertical="top" wrapText="1"/>
    </xf>
    <xf numFmtId="0" fontId="20" fillId="2" borderId="46" xfId="0" applyFont="1" applyFill="1" applyBorder="1" applyAlignment="1">
      <alignment horizontal="center" vertical="top" wrapText="1"/>
    </xf>
    <xf numFmtId="0" fontId="20" fillId="2" borderId="47" xfId="0" applyFont="1" applyFill="1" applyBorder="1" applyAlignment="1">
      <alignment horizontal="center" vertical="top" wrapText="1"/>
    </xf>
    <xf numFmtId="0" fontId="22" fillId="0" borderId="47" xfId="0" applyFont="1" applyFill="1" applyBorder="1" applyAlignment="1">
      <alignment horizontal="center" vertical="top" wrapText="1"/>
    </xf>
    <xf numFmtId="43" fontId="22" fillId="0" borderId="41" xfId="0" applyNumberFormat="1" applyFont="1" applyFill="1" applyBorder="1" applyAlignment="1">
      <alignment horizontal="center" vertical="top" wrapText="1"/>
    </xf>
    <xf numFmtId="0" fontId="22" fillId="0" borderId="41" xfId="0" applyFont="1" applyFill="1" applyBorder="1" applyAlignment="1">
      <alignment horizontal="center" vertical="top" wrapText="1"/>
    </xf>
    <xf numFmtId="0" fontId="22" fillId="2" borderId="41" xfId="0" applyFont="1" applyFill="1" applyBorder="1" applyAlignment="1">
      <alignment horizontal="center" vertical="top" wrapText="1"/>
    </xf>
    <xf numFmtId="0" fontId="20" fillId="2" borderId="41" xfId="0" applyFont="1" applyFill="1" applyBorder="1" applyAlignment="1">
      <alignment horizontal="center" vertical="top" wrapText="1"/>
    </xf>
    <xf numFmtId="171" fontId="20" fillId="0" borderId="41" xfId="8" applyNumberFormat="1" applyFont="1" applyFill="1" applyBorder="1" applyAlignment="1">
      <alignment horizontal="center" wrapText="1"/>
    </xf>
    <xf numFmtId="171" fontId="22" fillId="0" borderId="41" xfId="8" applyNumberFormat="1" applyFont="1" applyFill="1" applyBorder="1" applyAlignment="1">
      <alignment horizontal="center" vertical="top" wrapText="1"/>
    </xf>
    <xf numFmtId="171" fontId="20" fillId="2" borderId="46" xfId="8" applyNumberFormat="1" applyFont="1" applyFill="1" applyBorder="1" applyAlignment="1">
      <alignment horizontal="center" wrapText="1"/>
    </xf>
    <xf numFmtId="171" fontId="20" fillId="2" borderId="43" xfId="8" applyNumberFormat="1" applyFont="1" applyFill="1" applyBorder="1" applyAlignment="1">
      <alignment horizontal="center" wrapText="1"/>
    </xf>
    <xf numFmtId="0" fontId="19" fillId="0" borderId="41" xfId="0" applyFont="1" applyFill="1" applyBorder="1" applyAlignment="1">
      <alignment horizontal="center" vertical="center" wrapText="1"/>
    </xf>
    <xf numFmtId="0" fontId="22" fillId="0" borderId="41" xfId="0" applyFont="1" applyFill="1" applyBorder="1" applyAlignment="1">
      <alignment horizontal="center" vertical="center" wrapText="1"/>
    </xf>
    <xf numFmtId="0" fontId="28" fillId="2" borderId="0" xfId="0" applyFont="1" applyFill="1" applyAlignment="1">
      <alignment horizontal="center"/>
    </xf>
    <xf numFmtId="0" fontId="22" fillId="0" borderId="41" xfId="0" applyFont="1" applyFill="1" applyBorder="1" applyAlignment="1">
      <alignment horizontal="left" vertical="top" wrapText="1"/>
    </xf>
    <xf numFmtId="0" fontId="20" fillId="0" borderId="41" xfId="0" applyFont="1" applyBorder="1" applyAlignment="1">
      <alignment horizontal="center" vertical="top" wrapText="1"/>
    </xf>
    <xf numFmtId="171" fontId="20" fillId="0" borderId="41" xfId="8" applyNumberFormat="1" applyFont="1" applyBorder="1" applyAlignment="1">
      <alignment horizontal="center" vertical="top" wrapText="1"/>
    </xf>
    <xf numFmtId="14" fontId="20" fillId="0" borderId="41" xfId="0" applyNumberFormat="1" applyFont="1" applyBorder="1" applyAlignment="1">
      <alignment horizontal="center" vertical="top" wrapText="1"/>
    </xf>
    <xf numFmtId="0" fontId="20" fillId="0" borderId="46" xfId="0" applyFont="1" applyBorder="1" applyAlignment="1">
      <alignment horizontal="center" vertical="top" wrapText="1"/>
    </xf>
    <xf numFmtId="0" fontId="21" fillId="2" borderId="51" xfId="0" applyFont="1" applyFill="1" applyBorder="1" applyAlignment="1">
      <alignment horizontal="left" vertical="justify"/>
    </xf>
    <xf numFmtId="0" fontId="21" fillId="2" borderId="0" xfId="0" applyFont="1" applyFill="1" applyBorder="1" applyAlignment="1">
      <alignment horizontal="left" vertical="justify"/>
    </xf>
    <xf numFmtId="0" fontId="20" fillId="2" borderId="43" xfId="0" applyFont="1" applyFill="1" applyBorder="1" applyAlignment="1">
      <alignment horizontal="center" vertical="top" wrapText="1"/>
    </xf>
    <xf numFmtId="1" fontId="20" fillId="2" borderId="46" xfId="0" applyNumberFormat="1" applyFont="1" applyFill="1" applyBorder="1" applyAlignment="1">
      <alignment horizontal="center" vertical="top" wrapText="1"/>
    </xf>
    <xf numFmtId="0" fontId="22" fillId="0" borderId="46" xfId="0" applyFont="1" applyFill="1" applyBorder="1" applyAlignment="1">
      <alignment horizontal="center" vertical="center" wrapText="1"/>
    </xf>
    <xf numFmtId="0" fontId="22" fillId="0" borderId="43" xfId="0" applyFont="1" applyFill="1" applyBorder="1" applyAlignment="1">
      <alignment horizontal="center" vertical="center" wrapText="1"/>
    </xf>
    <xf numFmtId="0" fontId="19" fillId="2" borderId="0" xfId="0" applyFont="1" applyFill="1" applyAlignment="1">
      <alignment horizontal="center"/>
    </xf>
    <xf numFmtId="49" fontId="20" fillId="2" borderId="46" xfId="0" applyNumberFormat="1" applyFont="1" applyFill="1" applyBorder="1" applyAlignment="1">
      <alignment horizontal="center" vertical="top" wrapText="1"/>
    </xf>
    <xf numFmtId="49" fontId="20" fillId="2" borderId="47" xfId="0" applyNumberFormat="1" applyFont="1" applyFill="1" applyBorder="1" applyAlignment="1">
      <alignment horizontal="center" vertical="top" wrapText="1"/>
    </xf>
    <xf numFmtId="49" fontId="20" fillId="2" borderId="43" xfId="0" applyNumberFormat="1" applyFont="1" applyFill="1" applyBorder="1" applyAlignment="1">
      <alignment horizontal="center" vertical="top" wrapText="1"/>
    </xf>
    <xf numFmtId="10" fontId="20" fillId="2" borderId="46" xfId="0" applyNumberFormat="1" applyFont="1" applyFill="1" applyBorder="1" applyAlignment="1">
      <alignment horizontal="center" vertical="top" wrapText="1"/>
    </xf>
    <xf numFmtId="14" fontId="20" fillId="2" borderId="46" xfId="0" applyNumberFormat="1" applyFont="1" applyFill="1" applyBorder="1" applyAlignment="1">
      <alignment horizontal="center" vertical="top" wrapText="1"/>
    </xf>
    <xf numFmtId="14" fontId="20" fillId="2" borderId="47" xfId="0" applyNumberFormat="1" applyFont="1" applyFill="1" applyBorder="1" applyAlignment="1">
      <alignment horizontal="center" vertical="top" wrapText="1"/>
    </xf>
    <xf numFmtId="14" fontId="20" fillId="2" borderId="43" xfId="0" applyNumberFormat="1" applyFont="1" applyFill="1" applyBorder="1" applyAlignment="1">
      <alignment horizontal="center" vertical="top" wrapText="1"/>
    </xf>
    <xf numFmtId="14" fontId="20" fillId="0" borderId="46" xfId="0" applyNumberFormat="1" applyFont="1" applyFill="1" applyBorder="1" applyAlignment="1">
      <alignment horizontal="center" vertical="top" wrapText="1"/>
    </xf>
    <xf numFmtId="0" fontId="20" fillId="0" borderId="47" xfId="0" applyFont="1" applyFill="1" applyBorder="1" applyAlignment="1">
      <alignment horizontal="center" vertical="top" wrapText="1"/>
    </xf>
    <xf numFmtId="0" fontId="20" fillId="0" borderId="43" xfId="0" applyFont="1" applyFill="1" applyBorder="1" applyAlignment="1">
      <alignment horizontal="center" vertical="top" wrapText="1"/>
    </xf>
    <xf numFmtId="0" fontId="27" fillId="2" borderId="0" xfId="0" applyFont="1" applyFill="1" applyAlignment="1">
      <alignment horizontal="center"/>
    </xf>
    <xf numFmtId="0" fontId="27" fillId="2" borderId="48" xfId="0" applyFont="1" applyFill="1" applyBorder="1" applyAlignment="1">
      <alignment horizontal="center"/>
    </xf>
    <xf numFmtId="0" fontId="21" fillId="2" borderId="51" xfId="0" applyFont="1" applyFill="1" applyBorder="1" applyAlignment="1">
      <alignment horizontal="left"/>
    </xf>
    <xf numFmtId="0" fontId="20" fillId="2" borderId="34" xfId="0" applyFont="1" applyFill="1" applyBorder="1" applyAlignment="1">
      <alignment wrapText="1"/>
    </xf>
    <xf numFmtId="0" fontId="20" fillId="2" borderId="40" xfId="0" applyFont="1" applyFill="1" applyBorder="1" applyAlignment="1">
      <alignment wrapText="1"/>
    </xf>
    <xf numFmtId="0" fontId="19" fillId="2" borderId="34"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22" fillId="2" borderId="34" xfId="0" applyFont="1" applyFill="1" applyBorder="1" applyAlignment="1">
      <alignment horizontal="center" vertical="center" wrapText="1"/>
    </xf>
    <xf numFmtId="0" fontId="22" fillId="2" borderId="40" xfId="0" applyFont="1" applyFill="1" applyBorder="1" applyAlignment="1">
      <alignment horizontal="center" vertical="center" wrapText="1"/>
    </xf>
    <xf numFmtId="171" fontId="22" fillId="2" borderId="34" xfId="8" applyNumberFormat="1" applyFont="1" applyFill="1" applyBorder="1" applyAlignment="1">
      <alignment horizontal="center" vertical="top" wrapText="1"/>
    </xf>
    <xf numFmtId="171" fontId="22" fillId="2" borderId="40" xfId="8" applyNumberFormat="1" applyFont="1" applyFill="1" applyBorder="1" applyAlignment="1">
      <alignment horizontal="center" vertical="top" wrapText="1"/>
    </xf>
    <xf numFmtId="0" fontId="19" fillId="2" borderId="32" xfId="0" applyFont="1" applyFill="1" applyBorder="1" applyAlignment="1">
      <alignment vertical="top" wrapText="1"/>
    </xf>
    <xf numFmtId="0" fontId="19" fillId="2" borderId="51" xfId="0" applyFont="1" applyFill="1" applyBorder="1" applyAlignment="1">
      <alignment vertical="top" wrapText="1"/>
    </xf>
    <xf numFmtId="0" fontId="19" fillId="2" borderId="33" xfId="0" applyFont="1" applyFill="1" applyBorder="1" applyAlignment="1">
      <alignment vertical="top" wrapText="1"/>
    </xf>
    <xf numFmtId="0" fontId="19" fillId="2" borderId="38" xfId="0" applyFont="1" applyFill="1" applyBorder="1" applyAlignment="1">
      <alignment vertical="top" wrapText="1"/>
    </xf>
    <xf numFmtId="0" fontId="19" fillId="2" borderId="48" xfId="0" applyFont="1" applyFill="1" applyBorder="1" applyAlignment="1">
      <alignment vertical="top" wrapText="1"/>
    </xf>
    <xf numFmtId="0" fontId="19" fillId="2" borderId="39" xfId="0" applyFont="1" applyFill="1" applyBorder="1" applyAlignment="1">
      <alignment vertical="top" wrapText="1"/>
    </xf>
    <xf numFmtId="171" fontId="20" fillId="2" borderId="34" xfId="8" applyNumberFormat="1" applyFont="1" applyFill="1" applyBorder="1" applyAlignment="1">
      <alignment vertical="center" wrapText="1"/>
    </xf>
    <xf numFmtId="171" fontId="20" fillId="2" borderId="40" xfId="8" applyNumberFormat="1" applyFont="1" applyFill="1" applyBorder="1" applyAlignment="1">
      <alignment vertical="center" wrapText="1"/>
    </xf>
    <xf numFmtId="171" fontId="22" fillId="2" borderId="34" xfId="8" applyNumberFormat="1" applyFont="1" applyFill="1" applyBorder="1" applyAlignment="1">
      <alignment vertical="center" wrapText="1"/>
    </xf>
    <xf numFmtId="171" fontId="22" fillId="2" borderId="40" xfId="8" applyNumberFormat="1" applyFont="1" applyFill="1" applyBorder="1" applyAlignment="1">
      <alignment vertical="center" wrapText="1"/>
    </xf>
    <xf numFmtId="181" fontId="25" fillId="2" borderId="34" xfId="0" applyNumberFormat="1" applyFont="1" applyFill="1" applyBorder="1" applyAlignment="1">
      <alignment horizontal="center" vertical="top" wrapText="1"/>
    </xf>
    <xf numFmtId="181" fontId="25" fillId="2" borderId="40" xfId="0" applyNumberFormat="1" applyFont="1" applyFill="1" applyBorder="1" applyAlignment="1">
      <alignment horizontal="center" vertical="top" wrapText="1"/>
    </xf>
    <xf numFmtId="0" fontId="25" fillId="2" borderId="34" xfId="0" applyFont="1" applyFill="1" applyBorder="1" applyAlignment="1">
      <alignment vertical="top" wrapText="1"/>
    </xf>
    <xf numFmtId="0" fontId="25" fillId="2" borderId="40" xfId="0" applyFont="1" applyFill="1" applyBorder="1" applyAlignment="1">
      <alignment vertical="top" wrapText="1"/>
    </xf>
    <xf numFmtId="0" fontId="25" fillId="2" borderId="34" xfId="0" applyFont="1" applyFill="1" applyBorder="1" applyAlignment="1">
      <alignment horizontal="center" vertical="top" wrapText="1"/>
    </xf>
    <xf numFmtId="0" fontId="25" fillId="2" borderId="40" xfId="0" applyFont="1" applyFill="1" applyBorder="1" applyAlignment="1">
      <alignment horizontal="center" vertical="top" wrapText="1"/>
    </xf>
    <xf numFmtId="0" fontId="25" fillId="2" borderId="34" xfId="0" applyFont="1" applyFill="1" applyBorder="1" applyAlignment="1">
      <alignment horizontal="left" vertical="top" wrapText="1"/>
    </xf>
    <xf numFmtId="0" fontId="25" fillId="2" borderId="40" xfId="0" applyFont="1" applyFill="1" applyBorder="1" applyAlignment="1">
      <alignment horizontal="left" vertical="top" wrapText="1"/>
    </xf>
    <xf numFmtId="0" fontId="20" fillId="2" borderId="34" xfId="0" applyFont="1" applyFill="1" applyBorder="1" applyAlignment="1">
      <alignment horizontal="left" vertical="top" wrapText="1"/>
    </xf>
    <xf numFmtId="0" fontId="20" fillId="2" borderId="40" xfId="0" applyFont="1" applyFill="1" applyBorder="1" applyAlignment="1">
      <alignment horizontal="left" vertical="top" wrapText="1"/>
    </xf>
    <xf numFmtId="171" fontId="12" fillId="2" borderId="34" xfId="8" applyNumberFormat="1" applyFont="1" applyFill="1" applyBorder="1" applyAlignment="1">
      <alignment horizontal="center" vertical="center"/>
    </xf>
    <xf numFmtId="171" fontId="12" fillId="2" borderId="40" xfId="8" applyNumberFormat="1" applyFont="1" applyFill="1" applyBorder="1" applyAlignment="1">
      <alignment horizontal="center" vertical="center"/>
    </xf>
    <xf numFmtId="0" fontId="19" fillId="2" borderId="32" xfId="0" applyFont="1" applyFill="1" applyBorder="1" applyAlignment="1">
      <alignment horizontal="left" vertical="center" wrapText="1"/>
    </xf>
    <xf numFmtId="0" fontId="19" fillId="2" borderId="51" xfId="0" applyFont="1" applyFill="1" applyBorder="1" applyAlignment="1">
      <alignment horizontal="left" vertical="center" wrapText="1"/>
    </xf>
    <xf numFmtId="0" fontId="19" fillId="2" borderId="33" xfId="0" applyFont="1" applyFill="1" applyBorder="1" applyAlignment="1">
      <alignment horizontal="left" vertical="center" wrapText="1"/>
    </xf>
    <xf numFmtId="0" fontId="19" fillId="2" borderId="38" xfId="0" applyFont="1" applyFill="1" applyBorder="1" applyAlignment="1">
      <alignment horizontal="left" vertical="center" wrapText="1"/>
    </xf>
    <xf numFmtId="0" fontId="19" fillId="2" borderId="48" xfId="0" applyFont="1" applyFill="1" applyBorder="1" applyAlignment="1">
      <alignment horizontal="left" vertical="center" wrapText="1"/>
    </xf>
    <xf numFmtId="0" fontId="19" fillId="2" borderId="39" xfId="0" applyFont="1" applyFill="1" applyBorder="1" applyAlignment="1">
      <alignment horizontal="left" vertical="center" wrapText="1"/>
    </xf>
    <xf numFmtId="0" fontId="21" fillId="2" borderId="0" xfId="0" applyFont="1" applyFill="1" applyAlignment="1">
      <alignment horizontal="left" vertical="justify"/>
    </xf>
    <xf numFmtId="0" fontId="19" fillId="2" borderId="0" xfId="0" applyFont="1" applyFill="1" applyAlignment="1">
      <alignment horizontal="left"/>
    </xf>
    <xf numFmtId="0" fontId="23" fillId="2" borderId="0" xfId="0" applyFont="1" applyFill="1" applyAlignment="1">
      <alignment horizontal="left" vertical="justify"/>
    </xf>
    <xf numFmtId="0" fontId="21" fillId="2" borderId="0" xfId="0" applyFont="1" applyFill="1" applyAlignment="1">
      <alignment horizontal="center"/>
    </xf>
    <xf numFmtId="0" fontId="22" fillId="2" borderId="47" xfId="0" applyFont="1" applyFill="1" applyBorder="1" applyAlignment="1">
      <alignment horizontal="center" vertical="top" wrapText="1"/>
    </xf>
    <xf numFmtId="0" fontId="19" fillId="2" borderId="52" xfId="0" applyFont="1" applyFill="1" applyBorder="1" applyAlignment="1">
      <alignment horizontal="center" vertical="center"/>
    </xf>
    <xf numFmtId="0" fontId="19" fillId="2" borderId="29" xfId="0" applyFont="1" applyFill="1" applyBorder="1" applyAlignment="1">
      <alignment horizontal="center" vertical="center"/>
    </xf>
    <xf numFmtId="0" fontId="19" fillId="2" borderId="53" xfId="0" applyFont="1" applyFill="1" applyBorder="1" applyAlignment="1">
      <alignment horizontal="center" vertical="center"/>
    </xf>
    <xf numFmtId="0" fontId="19" fillId="18" borderId="31" xfId="0" applyFont="1" applyFill="1" applyBorder="1" applyAlignment="1">
      <alignment horizontal="center" vertical="top" wrapText="1"/>
    </xf>
    <xf numFmtId="0" fontId="19" fillId="18" borderId="10" xfId="0" applyFont="1" applyFill="1" applyBorder="1" applyAlignment="1">
      <alignment horizontal="center" vertical="top" wrapText="1"/>
    </xf>
    <xf numFmtId="0" fontId="19" fillId="2" borderId="29" xfId="0" applyFont="1" applyFill="1" applyBorder="1" applyAlignment="1">
      <alignment horizontal="center" vertical="center" wrapText="1"/>
    </xf>
    <xf numFmtId="0" fontId="19" fillId="2" borderId="6" xfId="0" applyFont="1" applyFill="1" applyBorder="1" applyAlignment="1">
      <alignment horizontal="center"/>
    </xf>
    <xf numFmtId="0" fontId="19" fillId="2" borderId="7" xfId="0" applyFont="1" applyFill="1" applyBorder="1" applyAlignment="1">
      <alignment horizontal="center"/>
    </xf>
    <xf numFmtId="0" fontId="19" fillId="2" borderId="8" xfId="0" applyFont="1" applyFill="1" applyBorder="1" applyAlignment="1">
      <alignment horizontal="center"/>
    </xf>
    <xf numFmtId="0" fontId="19" fillId="2" borderId="54" xfId="0" applyFont="1" applyFill="1" applyBorder="1" applyAlignment="1">
      <alignment horizontal="center" vertical="center"/>
    </xf>
    <xf numFmtId="0" fontId="19" fillId="2" borderId="55" xfId="0" applyFont="1" applyFill="1" applyBorder="1" applyAlignment="1">
      <alignment horizontal="center" vertical="center"/>
    </xf>
    <xf numFmtId="0" fontId="19" fillId="2" borderId="56" xfId="0" applyFont="1" applyFill="1" applyBorder="1" applyAlignment="1">
      <alignment horizontal="center" vertical="center"/>
    </xf>
    <xf numFmtId="0" fontId="19" fillId="0" borderId="6" xfId="0" applyFont="1" applyFill="1" applyBorder="1" applyAlignment="1">
      <alignment horizontal="center" vertical="top" wrapText="1"/>
    </xf>
    <xf numFmtId="0" fontId="19" fillId="0" borderId="7" xfId="0" applyFont="1" applyFill="1" applyBorder="1" applyAlignment="1">
      <alignment horizontal="center" vertical="top" wrapText="1"/>
    </xf>
    <xf numFmtId="0" fontId="19" fillId="0" borderId="8" xfId="0" applyFont="1" applyFill="1" applyBorder="1" applyAlignment="1">
      <alignment horizontal="center" vertical="top" wrapText="1"/>
    </xf>
    <xf numFmtId="176" fontId="1" fillId="0" borderId="6" xfId="0" applyNumberFormat="1" applyFont="1" applyBorder="1" applyAlignment="1">
      <alignment horizontal="center" vertical="center" wrapText="1"/>
    </xf>
    <xf numFmtId="176" fontId="1" fillId="0" borderId="7" xfId="0" applyNumberFormat="1" applyFont="1" applyBorder="1" applyAlignment="1">
      <alignment horizontal="center" vertical="center" wrapText="1"/>
    </xf>
    <xf numFmtId="176" fontId="1" fillId="0" borderId="8" xfId="0" applyNumberFormat="1" applyFont="1" applyBorder="1" applyAlignment="1">
      <alignment horizontal="center" vertical="center" wrapText="1"/>
    </xf>
    <xf numFmtId="176" fontId="1" fillId="0" borderId="6" xfId="1" applyNumberFormat="1" applyFont="1" applyBorder="1" applyAlignment="1">
      <alignment horizontal="center" vertical="center" wrapText="1"/>
    </xf>
    <xf numFmtId="176" fontId="1" fillId="0" borderId="7" xfId="1" applyNumberFormat="1" applyFont="1" applyBorder="1" applyAlignment="1">
      <alignment horizontal="center" vertical="center" wrapText="1"/>
    </xf>
    <xf numFmtId="176" fontId="1" fillId="0" borderId="8" xfId="1" applyNumberFormat="1" applyFont="1" applyBorder="1" applyAlignment="1">
      <alignment horizontal="center"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4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 fillId="0" borderId="59"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5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6" xfId="0" applyFont="1" applyBorder="1" applyAlignment="1">
      <alignment horizontal="righ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1" fontId="1" fillId="0" borderId="6" xfId="0" applyNumberFormat="1" applyFont="1" applyBorder="1" applyAlignment="1">
      <alignment horizontal="center" vertical="center" wrapText="1"/>
    </xf>
    <xf numFmtId="0" fontId="1" fillId="0" borderId="57" xfId="0" applyNumberFormat="1" applyFont="1" applyBorder="1" applyAlignment="1">
      <alignment horizontal="center" vertical="center" wrapText="1"/>
    </xf>
    <xf numFmtId="0" fontId="1" fillId="0" borderId="58"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13" xfId="0" applyNumberFormat="1" applyFont="1" applyBorder="1" applyAlignment="1">
      <alignment horizontal="center" vertical="center" wrapText="1"/>
    </xf>
    <xf numFmtId="176" fontId="2" fillId="0" borderId="6" xfId="1" applyNumberFormat="1" applyFont="1" applyBorder="1" applyAlignment="1">
      <alignment horizontal="center" vertical="center" wrapText="1"/>
    </xf>
    <xf numFmtId="176" fontId="2" fillId="0" borderId="7" xfId="1" applyNumberFormat="1" applyFont="1" applyBorder="1" applyAlignment="1">
      <alignment horizontal="center" vertical="center" wrapText="1"/>
    </xf>
    <xf numFmtId="176" fontId="2" fillId="0" borderId="8" xfId="1" applyNumberFormat="1" applyFont="1" applyBorder="1" applyAlignment="1">
      <alignment horizontal="center" vertical="center" wrapText="1"/>
    </xf>
    <xf numFmtId="1" fontId="2" fillId="0" borderId="6" xfId="0" applyNumberFormat="1" applyFont="1" applyBorder="1" applyAlignment="1">
      <alignment horizontal="center" vertical="center" wrapText="1"/>
    </xf>
    <xf numFmtId="1" fontId="2" fillId="0" borderId="7" xfId="0" applyNumberFormat="1" applyFont="1" applyBorder="1" applyAlignment="1">
      <alignment horizontal="center" vertical="center" wrapText="1"/>
    </xf>
    <xf numFmtId="1" fontId="2" fillId="0" borderId="8" xfId="0" applyNumberFormat="1" applyFont="1" applyBorder="1" applyAlignment="1">
      <alignment horizontal="center" vertical="center" wrapText="1"/>
    </xf>
    <xf numFmtId="0" fontId="6" fillId="0" borderId="61" xfId="0" applyFont="1" applyBorder="1" applyAlignment="1">
      <alignment horizontal="center" vertical="center"/>
    </xf>
    <xf numFmtId="0" fontId="14" fillId="19" borderId="10" xfId="0" applyFont="1" applyFill="1" applyBorder="1" applyAlignment="1">
      <alignment horizontal="center" vertical="center"/>
    </xf>
    <xf numFmtId="14" fontId="15" fillId="0" borderId="12" xfId="0" applyNumberFormat="1" applyFont="1" applyFill="1" applyBorder="1" applyAlignment="1">
      <alignment horizontal="center" vertical="center"/>
    </xf>
    <xf numFmtId="14" fontId="15" fillId="0" borderId="27" xfId="0" applyNumberFormat="1" applyFont="1" applyFill="1" applyBorder="1" applyAlignment="1">
      <alignment horizontal="center" vertical="center"/>
    </xf>
    <xf numFmtId="0" fontId="15" fillId="0" borderId="12"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12" borderId="12" xfId="0" applyFont="1" applyFill="1" applyBorder="1" applyAlignment="1">
      <alignment horizontal="center"/>
    </xf>
    <xf numFmtId="0" fontId="15" fillId="12" borderId="27" xfId="0" applyFont="1" applyFill="1" applyBorder="1" applyAlignment="1">
      <alignment horizontal="center"/>
    </xf>
    <xf numFmtId="0" fontId="14" fillId="0" borderId="10" xfId="0" applyFont="1" applyBorder="1" applyAlignment="1">
      <alignment horizontal="center" vertical="center"/>
    </xf>
    <xf numFmtId="49" fontId="14" fillId="0" borderId="62" xfId="8" applyNumberFormat="1" applyFont="1" applyFill="1" applyBorder="1" applyAlignment="1">
      <alignment horizontal="center" vertical="center"/>
    </xf>
    <xf numFmtId="49" fontId="14" fillId="0" borderId="63" xfId="8" applyNumberFormat="1" applyFont="1" applyFill="1" applyBorder="1" applyAlignment="1">
      <alignment horizontal="center" vertical="center"/>
    </xf>
    <xf numFmtId="176" fontId="15" fillId="0" borderId="12" xfId="0" applyNumberFormat="1" applyFont="1" applyBorder="1" applyAlignment="1">
      <alignment horizontal="center" vertical="center"/>
    </xf>
    <xf numFmtId="176" fontId="15" fillId="0" borderId="27" xfId="0" applyNumberFormat="1" applyFont="1" applyBorder="1" applyAlignment="1">
      <alignment horizontal="center" vertical="center"/>
    </xf>
    <xf numFmtId="0" fontId="14" fillId="0" borderId="10" xfId="0" applyFont="1" applyBorder="1" applyAlignment="1">
      <alignment horizontal="center"/>
    </xf>
    <xf numFmtId="176" fontId="15" fillId="12" borderId="12" xfId="0" applyNumberFormat="1" applyFont="1" applyFill="1" applyBorder="1" applyAlignment="1">
      <alignment horizontal="center" vertical="center"/>
    </xf>
    <xf numFmtId="176" fontId="15" fillId="12" borderId="27" xfId="0" applyNumberFormat="1" applyFont="1" applyFill="1" applyBorder="1" applyAlignment="1">
      <alignment horizontal="center" vertical="center"/>
    </xf>
    <xf numFmtId="0" fontId="15" fillId="0" borderId="27" xfId="0" applyFont="1" applyBorder="1"/>
    <xf numFmtId="14" fontId="15" fillId="0" borderId="30" xfId="0" applyNumberFormat="1" applyFont="1" applyFill="1" applyBorder="1" applyAlignment="1">
      <alignment horizontal="center" vertical="center"/>
    </xf>
    <xf numFmtId="169" fontId="1" fillId="0" borderId="6" xfId="1" applyNumberFormat="1" applyFont="1" applyBorder="1" applyAlignment="1">
      <alignment horizontal="left" vertical="center" wrapText="1"/>
    </xf>
    <xf numFmtId="169" fontId="1" fillId="0" borderId="7" xfId="1" applyNumberFormat="1" applyFont="1" applyBorder="1" applyAlignment="1">
      <alignment horizontal="left" vertical="center" wrapText="1"/>
    </xf>
    <xf numFmtId="169" fontId="1" fillId="0" borderId="8" xfId="1" applyNumberFormat="1" applyFont="1" applyBorder="1" applyAlignment="1">
      <alignment horizontal="left"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5" xfId="0" applyFont="1" applyBorder="1" applyAlignment="1">
      <alignment horizontal="center" vertical="center" wrapText="1"/>
    </xf>
    <xf numFmtId="169" fontId="1" fillId="0" borderId="59" xfId="0" applyNumberFormat="1" applyFont="1" applyBorder="1" applyAlignment="1">
      <alignment horizontal="center" vertical="center" wrapText="1"/>
    </xf>
    <xf numFmtId="169" fontId="1" fillId="0" borderId="60" xfId="0" applyNumberFormat="1" applyFont="1" applyBorder="1" applyAlignment="1">
      <alignment horizontal="center" vertical="center" wrapText="1"/>
    </xf>
    <xf numFmtId="169" fontId="1" fillId="0" borderId="50" xfId="0" applyNumberFormat="1" applyFont="1" applyBorder="1" applyAlignment="1">
      <alignment horizontal="center" vertical="center" wrapText="1"/>
    </xf>
    <xf numFmtId="169" fontId="1" fillId="0" borderId="3" xfId="0" applyNumberFormat="1" applyFont="1" applyBorder="1" applyAlignment="1">
      <alignment horizontal="center" vertical="center" wrapText="1"/>
    </xf>
    <xf numFmtId="169" fontId="1" fillId="0" borderId="0" xfId="0" applyNumberFormat="1" applyFont="1" applyBorder="1" applyAlignment="1">
      <alignment horizontal="center" vertical="center" wrapText="1"/>
    </xf>
    <xf numFmtId="169" fontId="1" fillId="0" borderId="15" xfId="0" applyNumberFormat="1" applyFont="1" applyBorder="1" applyAlignment="1">
      <alignment horizontal="center" vertical="center" wrapText="1"/>
    </xf>
    <xf numFmtId="169" fontId="1" fillId="0" borderId="4" xfId="0" applyNumberFormat="1" applyFont="1" applyBorder="1" applyAlignment="1">
      <alignment horizontal="center" vertical="center" wrapText="1"/>
    </xf>
    <xf numFmtId="169" fontId="1" fillId="0" borderId="44" xfId="0" applyNumberFormat="1" applyFont="1" applyBorder="1" applyAlignment="1">
      <alignment horizontal="center" vertical="center" wrapText="1"/>
    </xf>
    <xf numFmtId="169" fontId="1" fillId="0" borderId="45" xfId="0" applyNumberFormat="1" applyFont="1" applyBorder="1" applyAlignment="1">
      <alignment horizontal="center" vertical="center" wrapText="1"/>
    </xf>
    <xf numFmtId="0" fontId="2" fillId="0" borderId="6" xfId="0" applyFont="1" applyBorder="1" applyAlignment="1">
      <alignment horizontal="right" vertical="center" wrapText="1"/>
    </xf>
    <xf numFmtId="0" fontId="2" fillId="0" borderId="7" xfId="0" applyFont="1" applyBorder="1" applyAlignment="1">
      <alignment horizontal="right" vertical="center" wrapText="1"/>
    </xf>
    <xf numFmtId="0" fontId="2" fillId="0" borderId="8" xfId="0" applyFont="1" applyBorder="1" applyAlignment="1">
      <alignment horizontal="right" vertical="center" wrapText="1"/>
    </xf>
    <xf numFmtId="169" fontId="2" fillId="0" borderId="6" xfId="1" applyNumberFormat="1" applyFont="1" applyBorder="1" applyAlignment="1">
      <alignment horizontal="left" vertical="center" wrapText="1"/>
    </xf>
    <xf numFmtId="169" fontId="2" fillId="0" borderId="7" xfId="1" applyNumberFormat="1" applyFont="1" applyBorder="1" applyAlignment="1">
      <alignment horizontal="left" vertical="center" wrapText="1"/>
    </xf>
    <xf numFmtId="169" fontId="2" fillId="0" borderId="8" xfId="1" applyNumberFormat="1" applyFont="1" applyBorder="1" applyAlignment="1">
      <alignment horizontal="left" vertical="center" wrapText="1"/>
    </xf>
    <xf numFmtId="0" fontId="6" fillId="0" borderId="60" xfId="0" applyFont="1" applyBorder="1" applyAlignment="1">
      <alignment horizontal="left" vertical="center" wrapText="1"/>
    </xf>
    <xf numFmtId="169" fontId="6" fillId="0" borderId="60" xfId="0" applyNumberFormat="1" applyFont="1" applyBorder="1" applyAlignment="1">
      <alignment horizontal="left" vertical="center" wrapText="1"/>
    </xf>
    <xf numFmtId="0" fontId="6" fillId="0" borderId="0" xfId="0" applyFont="1" applyAlignment="1">
      <alignment horizontal="left" vertical="center" wrapText="1"/>
    </xf>
    <xf numFmtId="169" fontId="6" fillId="0" borderId="0" xfId="0" applyNumberFormat="1" applyFont="1" applyAlignment="1">
      <alignment horizontal="left" vertical="center" wrapText="1"/>
    </xf>
    <xf numFmtId="169" fontId="1" fillId="0" borderId="7" xfId="0" applyNumberFormat="1" applyFont="1" applyBorder="1" applyAlignment="1">
      <alignment horizontal="left" vertical="center" wrapText="1"/>
    </xf>
    <xf numFmtId="169" fontId="1" fillId="0" borderId="8" xfId="0" applyNumberFormat="1" applyFont="1" applyBorder="1" applyAlignment="1">
      <alignment horizontal="left" vertical="center" wrapText="1"/>
    </xf>
    <xf numFmtId="169" fontId="1" fillId="0" borderId="6" xfId="0" applyNumberFormat="1" applyFont="1" applyBorder="1" applyAlignment="1">
      <alignment horizontal="left" vertical="center" wrapText="1"/>
    </xf>
    <xf numFmtId="10" fontId="2" fillId="0" borderId="6" xfId="0" applyNumberFormat="1" applyFont="1" applyBorder="1" applyAlignment="1">
      <alignment horizontal="center" vertical="center" wrapText="1"/>
    </xf>
    <xf numFmtId="10" fontId="1" fillId="0" borderId="6" xfId="0" applyNumberFormat="1" applyFont="1" applyBorder="1" applyAlignment="1">
      <alignment horizontal="center" vertical="center" wrapText="1"/>
    </xf>
    <xf numFmtId="10" fontId="2" fillId="0" borderId="6" xfId="7" applyNumberFormat="1" applyFont="1" applyBorder="1" applyAlignment="1">
      <alignment horizontal="center" vertical="center" wrapText="1"/>
    </xf>
    <xf numFmtId="10" fontId="2" fillId="0" borderId="8" xfId="7" applyNumberFormat="1" applyFont="1" applyBorder="1" applyAlignment="1">
      <alignment horizontal="center" vertical="center" wrapText="1"/>
    </xf>
    <xf numFmtId="0" fontId="6" fillId="0" borderId="0" xfId="0" applyFont="1" applyBorder="1" applyAlignment="1">
      <alignment horizontal="left" vertical="center" wrapText="1"/>
    </xf>
    <xf numFmtId="169" fontId="6" fillId="0" borderId="0" xfId="0" applyNumberFormat="1" applyFont="1" applyBorder="1" applyAlignment="1">
      <alignment horizontal="left" vertical="center" wrapText="1"/>
    </xf>
    <xf numFmtId="0" fontId="2" fillId="0" borderId="13" xfId="0" applyFont="1" applyBorder="1" applyAlignment="1">
      <alignment horizontal="right" vertical="center" wrapText="1"/>
    </xf>
    <xf numFmtId="0" fontId="2" fillId="0" borderId="58" xfId="0" applyFont="1" applyBorder="1" applyAlignment="1">
      <alignment horizontal="right" vertical="center" wrapText="1"/>
    </xf>
    <xf numFmtId="0" fontId="2" fillId="0" borderId="14" xfId="0" applyFont="1" applyBorder="1" applyAlignment="1">
      <alignment horizontal="right" vertical="center" wrapText="1"/>
    </xf>
    <xf numFmtId="0" fontId="1" fillId="0" borderId="44" xfId="0" applyFont="1" applyBorder="1" applyAlignment="1">
      <alignment horizontal="right" vertical="center" wrapText="1"/>
    </xf>
    <xf numFmtId="0" fontId="1" fillId="0" borderId="45" xfId="0" applyFont="1" applyBorder="1" applyAlignment="1">
      <alignment horizontal="right" vertical="center" wrapText="1"/>
    </xf>
    <xf numFmtId="169" fontId="1" fillId="0" borderId="7" xfId="0" applyNumberFormat="1" applyFont="1" applyBorder="1" applyAlignment="1">
      <alignment horizontal="left" vertical="center"/>
    </xf>
    <xf numFmtId="169" fontId="1" fillId="0" borderId="8" xfId="0" applyNumberFormat="1" applyFont="1" applyBorder="1" applyAlignment="1">
      <alignment horizontal="left" vertical="center"/>
    </xf>
    <xf numFmtId="169" fontId="1" fillId="0" borderId="6" xfId="0" applyNumberFormat="1" applyFont="1" applyBorder="1" applyAlignment="1">
      <alignment horizontal="center" vertical="center" wrapText="1"/>
    </xf>
    <xf numFmtId="169" fontId="1" fillId="0" borderId="7" xfId="0" applyNumberFormat="1" applyFont="1" applyBorder="1" applyAlignment="1">
      <alignment horizontal="center" vertical="center" wrapText="1"/>
    </xf>
    <xf numFmtId="169" fontId="1" fillId="0" borderId="8"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65" xfId="0" applyFont="1" applyBorder="1" applyAlignment="1">
      <alignment horizontal="right" vertical="center" wrapText="1"/>
    </xf>
    <xf numFmtId="169" fontId="2" fillId="0" borderId="64" xfId="1" applyNumberFormat="1" applyFont="1" applyBorder="1" applyAlignment="1">
      <alignment horizontal="left" vertical="center" wrapText="1"/>
    </xf>
    <xf numFmtId="169" fontId="42" fillId="0" borderId="6" xfId="1" applyNumberFormat="1" applyFont="1" applyBorder="1" applyAlignment="1">
      <alignment horizontal="left" vertical="center"/>
    </xf>
    <xf numFmtId="169" fontId="42" fillId="0" borderId="7" xfId="1" applyNumberFormat="1" applyFont="1" applyBorder="1" applyAlignment="1">
      <alignment horizontal="left" vertical="center"/>
    </xf>
    <xf numFmtId="169" fontId="42" fillId="0" borderId="8" xfId="1" applyNumberFormat="1" applyFont="1" applyBorder="1" applyAlignment="1">
      <alignment horizontal="left" vertical="center"/>
    </xf>
    <xf numFmtId="169" fontId="54" fillId="0" borderId="6" xfId="1" applyNumberFormat="1" applyFont="1" applyBorder="1" applyAlignment="1">
      <alignment horizontal="left" vertical="center"/>
    </xf>
    <xf numFmtId="169" fontId="54" fillId="0" borderId="7" xfId="1" applyNumberFormat="1" applyFont="1" applyBorder="1" applyAlignment="1">
      <alignment horizontal="left" vertical="center"/>
    </xf>
    <xf numFmtId="169" fontId="54" fillId="0" borderId="8" xfId="1" applyNumberFormat="1" applyFont="1" applyBorder="1" applyAlignment="1">
      <alignment horizontal="left" vertical="center"/>
    </xf>
    <xf numFmtId="169" fontId="42" fillId="0" borderId="6" xfId="1" applyNumberFormat="1" applyFont="1" applyBorder="1" applyAlignment="1">
      <alignment horizontal="center" vertical="center"/>
    </xf>
    <xf numFmtId="169" fontId="42" fillId="0" borderId="7" xfId="1" applyNumberFormat="1" applyFont="1" applyBorder="1" applyAlignment="1">
      <alignment horizontal="center" vertical="center"/>
    </xf>
    <xf numFmtId="169" fontId="42" fillId="0" borderId="8" xfId="1" applyNumberFormat="1" applyFont="1" applyBorder="1" applyAlignment="1">
      <alignment horizontal="center" vertical="center"/>
    </xf>
    <xf numFmtId="10" fontId="2" fillId="0" borderId="8" xfId="0" applyNumberFormat="1" applyFont="1" applyBorder="1" applyAlignment="1">
      <alignment horizontal="center" vertical="center" wrapText="1"/>
    </xf>
    <xf numFmtId="10" fontId="54" fillId="0" borderId="6" xfId="7" applyNumberFormat="1" applyFont="1" applyBorder="1" applyAlignment="1">
      <alignment horizontal="center" vertical="center"/>
    </xf>
    <xf numFmtId="10" fontId="54" fillId="0" borderId="8" xfId="7" applyNumberFormat="1" applyFont="1" applyBorder="1" applyAlignment="1">
      <alignment horizontal="center" vertical="center"/>
    </xf>
    <xf numFmtId="10" fontId="66" fillId="0" borderId="6" xfId="0" applyNumberFormat="1" applyFont="1" applyBorder="1" applyAlignment="1">
      <alignment horizontal="center" vertical="center" wrapText="1"/>
    </xf>
    <xf numFmtId="10" fontId="66" fillId="0" borderId="8" xfId="0" applyNumberFormat="1" applyFont="1" applyBorder="1" applyAlignment="1">
      <alignment horizontal="center" vertical="center" wrapText="1"/>
    </xf>
    <xf numFmtId="169" fontId="42" fillId="0" borderId="6" xfId="0" applyNumberFormat="1" applyFont="1" applyBorder="1" applyAlignment="1">
      <alignment horizontal="left" vertical="center" wrapText="1"/>
    </xf>
    <xf numFmtId="169" fontId="42" fillId="0" borderId="7" xfId="0" applyNumberFormat="1" applyFont="1" applyBorder="1" applyAlignment="1">
      <alignment horizontal="left" vertical="center" wrapText="1"/>
    </xf>
    <xf numFmtId="169" fontId="42" fillId="0" borderId="8" xfId="0" applyNumberFormat="1" applyFont="1" applyBorder="1" applyAlignment="1">
      <alignment horizontal="left" vertical="center" wrapText="1"/>
    </xf>
    <xf numFmtId="169" fontId="42" fillId="0" borderId="6" xfId="0" applyNumberFormat="1" applyFont="1" applyBorder="1" applyAlignment="1">
      <alignment horizontal="left" vertical="center"/>
    </xf>
    <xf numFmtId="169" fontId="42" fillId="0" borderId="7" xfId="0" applyNumberFormat="1" applyFont="1" applyBorder="1" applyAlignment="1">
      <alignment horizontal="left" vertical="center"/>
    </xf>
    <xf numFmtId="169" fontId="42" fillId="0" borderId="8" xfId="0" applyNumberFormat="1" applyFont="1" applyBorder="1" applyAlignment="1">
      <alignment horizontal="left" vertical="center"/>
    </xf>
    <xf numFmtId="169" fontId="2" fillId="0" borderId="6" xfId="0" applyNumberFormat="1" applyFont="1" applyBorder="1" applyAlignment="1">
      <alignment horizontal="left" vertical="center" wrapText="1"/>
    </xf>
    <xf numFmtId="169" fontId="2" fillId="0" borderId="7" xfId="0" applyNumberFormat="1" applyFont="1" applyBorder="1" applyAlignment="1">
      <alignment horizontal="left" vertical="center" wrapText="1"/>
    </xf>
    <xf numFmtId="169" fontId="2" fillId="0" borderId="8" xfId="0" applyNumberFormat="1" applyFont="1" applyBorder="1" applyAlignment="1">
      <alignment horizontal="left" vertical="center" wrapText="1"/>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169" fontId="0" fillId="0" borderId="6" xfId="0" applyNumberFormat="1" applyBorder="1" applyAlignment="1">
      <alignment horizontal="left" vertical="center" wrapText="1"/>
    </xf>
    <xf numFmtId="169" fontId="0" fillId="0" borderId="7" xfId="0" applyNumberFormat="1" applyBorder="1" applyAlignment="1">
      <alignment horizontal="left" vertical="center" wrapText="1"/>
    </xf>
    <xf numFmtId="169" fontId="0" fillId="0" borderId="8" xfId="0" applyNumberFormat="1" applyBorder="1" applyAlignment="1">
      <alignment horizontal="left" vertical="center" wrapText="1"/>
    </xf>
    <xf numFmtId="0" fontId="2" fillId="0" borderId="6" xfId="0" applyNumberFormat="1" applyFont="1" applyBorder="1" applyAlignment="1">
      <alignment horizontal="left" vertical="center" wrapText="1"/>
    </xf>
    <xf numFmtId="0" fontId="2" fillId="0" borderId="7" xfId="0" applyNumberFormat="1" applyFont="1" applyBorder="1" applyAlignment="1">
      <alignment horizontal="left" vertical="center" wrapText="1"/>
    </xf>
    <xf numFmtId="0" fontId="2" fillId="0" borderId="8" xfId="0" applyNumberFormat="1" applyFont="1" applyBorder="1" applyAlignment="1">
      <alignment horizontal="left" vertical="center" wrapText="1"/>
    </xf>
    <xf numFmtId="0" fontId="42" fillId="0" borderId="6" xfId="0" applyFont="1" applyBorder="1" applyAlignment="1">
      <alignment horizontal="center" vertical="center"/>
    </xf>
    <xf numFmtId="0" fontId="42" fillId="0" borderId="7" xfId="0" applyFont="1" applyBorder="1" applyAlignment="1">
      <alignment horizontal="center" vertical="center"/>
    </xf>
    <xf numFmtId="0" fontId="42" fillId="0" borderId="8" xfId="0" applyFont="1" applyBorder="1" applyAlignment="1">
      <alignment horizontal="center" vertical="center"/>
    </xf>
    <xf numFmtId="0" fontId="42" fillId="0" borderId="6" xfId="0" applyNumberFormat="1" applyFont="1" applyBorder="1" applyAlignment="1">
      <alignment horizontal="center" vertical="center" wrapText="1"/>
    </xf>
    <xf numFmtId="0" fontId="42" fillId="0" borderId="7" xfId="0" applyNumberFormat="1" applyFont="1" applyBorder="1" applyAlignment="1">
      <alignment horizontal="center" vertical="center" wrapText="1"/>
    </xf>
    <xf numFmtId="0" fontId="42" fillId="0" borderId="8" xfId="0" applyNumberFormat="1" applyFont="1" applyBorder="1" applyAlignment="1">
      <alignment horizontal="center" vertical="center" wrapText="1"/>
    </xf>
    <xf numFmtId="0" fontId="1" fillId="0" borderId="0" xfId="0" applyFont="1" applyAlignment="1">
      <alignment horizontal="center" vertical="center" wrapText="1"/>
    </xf>
    <xf numFmtId="169" fontId="1" fillId="0" borderId="0" xfId="0" applyNumberFormat="1" applyFont="1" applyAlignment="1">
      <alignment horizontal="left" vertical="center" wrapText="1"/>
    </xf>
    <xf numFmtId="0" fontId="2" fillId="0" borderId="57" xfId="0" applyFont="1" applyBorder="1" applyAlignment="1">
      <alignment horizontal="right" vertical="center" wrapText="1"/>
    </xf>
    <xf numFmtId="49" fontId="2" fillId="0" borderId="64"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10" fontId="2" fillId="0" borderId="7" xfId="0" applyNumberFormat="1" applyFont="1" applyBorder="1" applyAlignment="1">
      <alignment horizontal="center" vertical="center" wrapText="1"/>
    </xf>
    <xf numFmtId="0" fontId="2" fillId="0" borderId="0" xfId="0" applyFont="1" applyAlignment="1">
      <alignment horizontal="left" vertical="center"/>
    </xf>
    <xf numFmtId="169" fontId="2" fillId="0" borderId="0" xfId="0" applyNumberFormat="1" applyFont="1" applyAlignment="1">
      <alignment horizontal="left" vertical="center"/>
    </xf>
    <xf numFmtId="175" fontId="1" fillId="0" borderId="6" xfId="1" applyNumberFormat="1" applyFont="1" applyBorder="1" applyAlignment="1">
      <alignment horizontal="left" vertical="center" wrapText="1"/>
    </xf>
    <xf numFmtId="175" fontId="1" fillId="0" borderId="7" xfId="1" applyNumberFormat="1" applyFont="1" applyBorder="1" applyAlignment="1">
      <alignment horizontal="left" vertical="center" wrapText="1"/>
    </xf>
    <xf numFmtId="175" fontId="1" fillId="0" borderId="8" xfId="1" applyNumberFormat="1" applyFont="1" applyBorder="1" applyAlignment="1">
      <alignment horizontal="left" vertical="center" wrapText="1"/>
    </xf>
    <xf numFmtId="175" fontId="2" fillId="0" borderId="6" xfId="1" applyNumberFormat="1" applyFont="1" applyBorder="1" applyAlignment="1">
      <alignment horizontal="left" vertical="center" wrapText="1"/>
    </xf>
    <xf numFmtId="175" fontId="2" fillId="0" borderId="7" xfId="1" applyNumberFormat="1" applyFont="1" applyBorder="1" applyAlignment="1">
      <alignment horizontal="left" vertical="center" wrapText="1"/>
    </xf>
    <xf numFmtId="175" fontId="2" fillId="0" borderId="8" xfId="1" applyNumberFormat="1" applyFont="1" applyBorder="1" applyAlignment="1">
      <alignment horizontal="left" vertical="center" wrapText="1"/>
    </xf>
    <xf numFmtId="175" fontId="2" fillId="0" borderId="64" xfId="1" applyNumberFormat="1" applyFont="1" applyBorder="1" applyAlignment="1">
      <alignment horizontal="left" vertical="center" wrapText="1"/>
    </xf>
    <xf numFmtId="175" fontId="42" fillId="0" borderId="6" xfId="1" applyNumberFormat="1" applyFont="1" applyBorder="1" applyAlignment="1">
      <alignment horizontal="left" vertical="center"/>
    </xf>
    <xf numFmtId="175" fontId="42" fillId="0" borderId="7" xfId="1" applyNumberFormat="1" applyFont="1" applyBorder="1" applyAlignment="1">
      <alignment horizontal="left" vertical="center"/>
    </xf>
    <xf numFmtId="175" fontId="42" fillId="0" borderId="8" xfId="1" applyNumberFormat="1" applyFont="1" applyBorder="1" applyAlignment="1">
      <alignment horizontal="left" vertical="center"/>
    </xf>
    <xf numFmtId="175" fontId="54" fillId="0" borderId="6" xfId="1" applyNumberFormat="1" applyFont="1" applyBorder="1" applyAlignment="1">
      <alignment horizontal="left" vertical="center"/>
    </xf>
    <xf numFmtId="175" fontId="54" fillId="0" borderId="7" xfId="1" applyNumberFormat="1" applyFont="1" applyBorder="1" applyAlignment="1">
      <alignment horizontal="left" vertical="center"/>
    </xf>
    <xf numFmtId="175" fontId="54" fillId="0" borderId="8" xfId="1" applyNumberFormat="1" applyFont="1" applyBorder="1" applyAlignment="1">
      <alignment horizontal="left" vertical="center"/>
    </xf>
    <xf numFmtId="14" fontId="42" fillId="0" borderId="6" xfId="0" applyNumberFormat="1" applyFont="1" applyBorder="1" applyAlignment="1">
      <alignment horizontal="left" vertical="center"/>
    </xf>
    <xf numFmtId="0" fontId="42" fillId="0" borderId="7" xfId="0" applyFont="1" applyBorder="1" applyAlignment="1">
      <alignment horizontal="left" vertical="center"/>
    </xf>
    <xf numFmtId="0" fontId="42" fillId="0" borderId="8" xfId="0" applyFont="1" applyBorder="1" applyAlignment="1">
      <alignment horizontal="left" vertical="center"/>
    </xf>
    <xf numFmtId="0" fontId="42" fillId="0" borderId="6" xfId="0" applyFont="1" applyBorder="1" applyAlignment="1">
      <alignment horizontal="left" vertical="center"/>
    </xf>
    <xf numFmtId="0" fontId="42" fillId="0" borderId="6" xfId="0" applyFont="1" applyBorder="1" applyAlignment="1">
      <alignment horizontal="left" vertical="center" wrapText="1"/>
    </xf>
    <xf numFmtId="0" fontId="42" fillId="0" borderId="7" xfId="0" applyFont="1" applyBorder="1" applyAlignment="1">
      <alignment horizontal="left" vertical="center" wrapText="1"/>
    </xf>
    <xf numFmtId="0" fontId="42" fillId="0" borderId="8"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1" fontId="2" fillId="0" borderId="6" xfId="0" applyNumberFormat="1" applyFont="1" applyBorder="1" applyAlignment="1">
      <alignment horizontal="left" vertical="center" wrapText="1"/>
    </xf>
    <xf numFmtId="0" fontId="42" fillId="0" borderId="59" xfId="0" applyFont="1" applyBorder="1" applyAlignment="1">
      <alignment horizontal="center" vertical="center" wrapText="1"/>
    </xf>
    <xf numFmtId="0" fontId="42" fillId="0" borderId="60" xfId="0" applyFont="1" applyBorder="1" applyAlignment="1">
      <alignment horizontal="center" vertical="center" wrapText="1"/>
    </xf>
    <xf numFmtId="0" fontId="42" fillId="0" borderId="50" xfId="0" applyFont="1" applyBorder="1" applyAlignment="1">
      <alignment horizontal="center" vertical="center" wrapText="1"/>
    </xf>
    <xf numFmtId="14" fontId="2" fillId="0" borderId="6" xfId="0" applyNumberFormat="1" applyFont="1" applyBorder="1" applyAlignment="1">
      <alignment horizontal="left" vertical="center" wrapText="1"/>
    </xf>
    <xf numFmtId="10" fontId="2" fillId="0" borderId="6"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67" fillId="0" borderId="6" xfId="0" applyFont="1" applyBorder="1" applyAlignment="1">
      <alignment horizontal="center" vertical="center"/>
    </xf>
    <xf numFmtId="0" fontId="67" fillId="0" borderId="7" xfId="0" applyFont="1" applyBorder="1" applyAlignment="1">
      <alignment horizontal="center" vertical="center"/>
    </xf>
    <xf numFmtId="0" fontId="67" fillId="0" borderId="8" xfId="0" applyFont="1" applyBorder="1" applyAlignment="1">
      <alignment horizontal="center" vertical="center"/>
    </xf>
    <xf numFmtId="10" fontId="12" fillId="0" borderId="6" xfId="7" applyNumberFormat="1" applyFont="1" applyBorder="1" applyAlignment="1">
      <alignment horizontal="center" vertical="center"/>
    </xf>
    <xf numFmtId="10" fontId="12" fillId="0" borderId="8" xfId="7" applyNumberFormat="1" applyFont="1" applyBorder="1" applyAlignment="1">
      <alignment horizontal="center" vertical="center"/>
    </xf>
    <xf numFmtId="169" fontId="42" fillId="0" borderId="6" xfId="1" applyNumberFormat="1" applyFont="1" applyBorder="1" applyAlignment="1">
      <alignment vertical="center"/>
    </xf>
    <xf numFmtId="169" fontId="42" fillId="0" borderId="7" xfId="1" applyNumberFormat="1" applyFont="1" applyBorder="1" applyAlignment="1">
      <alignment vertical="center"/>
    </xf>
    <xf numFmtId="169" fontId="42" fillId="0" borderId="8" xfId="1" applyNumberFormat="1" applyFont="1" applyBorder="1" applyAlignment="1">
      <alignment vertical="center"/>
    </xf>
    <xf numFmtId="175" fontId="42" fillId="0" borderId="6" xfId="1" applyNumberFormat="1" applyFont="1" applyBorder="1" applyAlignment="1">
      <alignment vertical="center"/>
    </xf>
    <xf numFmtId="175" fontId="42" fillId="0" borderId="7" xfId="1" applyNumberFormat="1" applyFont="1" applyBorder="1" applyAlignment="1">
      <alignment vertical="center"/>
    </xf>
    <xf numFmtId="175" fontId="42" fillId="0" borderId="8" xfId="1" applyNumberFormat="1" applyFont="1" applyBorder="1" applyAlignment="1">
      <alignment vertical="center"/>
    </xf>
    <xf numFmtId="175" fontId="54" fillId="0" borderId="6" xfId="1" applyNumberFormat="1" applyFont="1" applyBorder="1" applyAlignment="1">
      <alignment vertical="center"/>
    </xf>
    <xf numFmtId="175" fontId="54" fillId="0" borderId="7" xfId="1" applyNumberFormat="1" applyFont="1" applyBorder="1" applyAlignment="1">
      <alignment vertical="center"/>
    </xf>
    <xf numFmtId="175" fontId="54" fillId="0" borderId="8" xfId="1" applyNumberFormat="1" applyFont="1" applyBorder="1" applyAlignment="1">
      <alignment vertical="center"/>
    </xf>
    <xf numFmtId="175" fontId="54" fillId="0" borderId="6" xfId="1" applyNumberFormat="1" applyFont="1" applyBorder="1" applyAlignment="1">
      <alignment horizontal="right" vertical="center"/>
    </xf>
    <xf numFmtId="175" fontId="54" fillId="0" borderId="7" xfId="1" applyNumberFormat="1" applyFont="1" applyBorder="1" applyAlignment="1">
      <alignment horizontal="right" vertical="center"/>
    </xf>
    <xf numFmtId="175" fontId="54" fillId="0" borderId="8" xfId="1" applyNumberFormat="1" applyFont="1" applyBorder="1" applyAlignment="1">
      <alignment horizontal="right" vertical="center"/>
    </xf>
    <xf numFmtId="175" fontId="42" fillId="0" borderId="6" xfId="1" applyNumberFormat="1" applyFont="1" applyBorder="1" applyAlignment="1">
      <alignment horizontal="right" vertical="center"/>
    </xf>
    <xf numFmtId="175" fontId="42" fillId="0" borderId="7" xfId="1" applyNumberFormat="1" applyFont="1" applyBorder="1" applyAlignment="1">
      <alignment horizontal="right" vertical="center"/>
    </xf>
    <xf numFmtId="175" fontId="42" fillId="0" borderId="8" xfId="1" applyNumberFormat="1" applyFont="1" applyBorder="1" applyAlignment="1">
      <alignment horizontal="right" vertical="center"/>
    </xf>
    <xf numFmtId="0" fontId="54" fillId="0" borderId="59" xfId="0" applyFont="1" applyBorder="1" applyAlignment="1">
      <alignment horizontal="center" vertical="center" wrapText="1"/>
    </xf>
    <xf numFmtId="0" fontId="54" fillId="0" borderId="60" xfId="0" applyFont="1" applyBorder="1" applyAlignment="1">
      <alignment horizontal="center" vertical="center" wrapText="1"/>
    </xf>
    <xf numFmtId="0" fontId="54" fillId="0" borderId="50" xfId="0" applyFont="1" applyBorder="1" applyAlignment="1">
      <alignment horizontal="center" vertical="center" wrapText="1"/>
    </xf>
    <xf numFmtId="0" fontId="54" fillId="0" borderId="3" xfId="0" applyFont="1" applyBorder="1" applyAlignment="1">
      <alignment horizontal="center" vertical="center" wrapText="1"/>
    </xf>
    <xf numFmtId="0" fontId="54" fillId="0" borderId="0" xfId="0" applyFont="1" applyBorder="1" applyAlignment="1">
      <alignment horizontal="center" vertical="center" wrapText="1"/>
    </xf>
    <xf numFmtId="0" fontId="54" fillId="0" borderId="15" xfId="0" applyFont="1" applyBorder="1" applyAlignment="1">
      <alignment horizontal="center" vertical="center" wrapText="1"/>
    </xf>
    <xf numFmtId="0" fontId="54" fillId="0" borderId="4" xfId="0" applyFont="1" applyBorder="1" applyAlignment="1">
      <alignment horizontal="center" vertical="center" wrapText="1"/>
    </xf>
    <xf numFmtId="0" fontId="54" fillId="0" borderId="44" xfId="0" applyFont="1" applyBorder="1" applyAlignment="1">
      <alignment horizontal="center" vertical="center" wrapText="1"/>
    </xf>
    <xf numFmtId="0" fontId="54" fillId="0" borderId="45" xfId="0" applyFont="1" applyBorder="1" applyAlignment="1">
      <alignment horizontal="center" vertical="center" wrapText="1"/>
    </xf>
    <xf numFmtId="175" fontId="1" fillId="0" borderId="6" xfId="1" applyNumberFormat="1" applyFont="1" applyBorder="1" applyAlignment="1">
      <alignment horizontal="center" vertical="center" wrapText="1"/>
    </xf>
    <xf numFmtId="175" fontId="1" fillId="0" borderId="7" xfId="1" applyNumberFormat="1" applyFont="1" applyBorder="1" applyAlignment="1">
      <alignment horizontal="center" vertical="center" wrapText="1"/>
    </xf>
    <xf numFmtId="175" fontId="1" fillId="0" borderId="8" xfId="1" applyNumberFormat="1" applyFont="1" applyBorder="1" applyAlignment="1">
      <alignment horizontal="center" vertical="center" wrapText="1"/>
    </xf>
    <xf numFmtId="175" fontId="2" fillId="0" borderId="6" xfId="1" applyNumberFormat="1" applyFont="1" applyBorder="1" applyAlignment="1">
      <alignment horizontal="center" vertical="center" wrapText="1"/>
    </xf>
    <xf numFmtId="175" fontId="2" fillId="0" borderId="7" xfId="1" applyNumberFormat="1" applyFont="1" applyBorder="1" applyAlignment="1">
      <alignment horizontal="center" vertical="center" wrapText="1"/>
    </xf>
    <xf numFmtId="175" fontId="2" fillId="0" borderId="8" xfId="1" applyNumberFormat="1" applyFont="1" applyBorder="1" applyAlignment="1">
      <alignment horizontal="center" vertical="center" wrapText="1"/>
    </xf>
    <xf numFmtId="0" fontId="1" fillId="0" borderId="0" xfId="0" applyFont="1" applyAlignment="1">
      <alignment horizontal="left" vertical="center" wrapText="1"/>
    </xf>
    <xf numFmtId="175" fontId="2" fillId="0" borderId="64" xfId="1" applyNumberFormat="1" applyFont="1" applyBorder="1" applyAlignment="1">
      <alignment horizontal="center" vertical="center" wrapText="1"/>
    </xf>
    <xf numFmtId="175" fontId="42" fillId="0" borderId="6" xfId="1" applyNumberFormat="1" applyFont="1" applyBorder="1" applyAlignment="1">
      <alignment horizontal="center" vertical="center"/>
    </xf>
    <xf numFmtId="175" fontId="42" fillId="0" borderId="7" xfId="1" applyNumberFormat="1" applyFont="1" applyBorder="1" applyAlignment="1">
      <alignment horizontal="center" vertical="center"/>
    </xf>
    <xf numFmtId="175" fontId="42" fillId="0" borderId="8" xfId="1" applyNumberFormat="1" applyFont="1" applyBorder="1" applyAlignment="1">
      <alignment horizontal="center" vertical="center"/>
    </xf>
    <xf numFmtId="175" fontId="54" fillId="0" borderId="6" xfId="1" applyNumberFormat="1" applyFont="1" applyBorder="1" applyAlignment="1">
      <alignment horizontal="center" vertical="center"/>
    </xf>
    <xf numFmtId="175" fontId="54" fillId="0" borderId="7" xfId="1" applyNumberFormat="1" applyFont="1" applyBorder="1" applyAlignment="1">
      <alignment horizontal="center" vertical="center"/>
    </xf>
    <xf numFmtId="175" fontId="54" fillId="0" borderId="8" xfId="1" applyNumberFormat="1" applyFont="1" applyBorder="1" applyAlignment="1">
      <alignment horizontal="center" vertical="center"/>
    </xf>
    <xf numFmtId="0" fontId="42" fillId="0" borderId="6" xfId="0" applyFont="1" applyBorder="1" applyAlignment="1">
      <alignment horizontal="center" vertical="center" wrapText="1"/>
    </xf>
    <xf numFmtId="0" fontId="42" fillId="0" borderId="7" xfId="0" applyFont="1" applyBorder="1" applyAlignment="1">
      <alignment horizontal="center" vertical="center" wrapText="1"/>
    </xf>
    <xf numFmtId="0" fontId="42" fillId="0" borderId="8" xfId="0" applyFont="1" applyBorder="1" applyAlignment="1">
      <alignment horizontal="center" vertical="center" wrapText="1"/>
    </xf>
    <xf numFmtId="14" fontId="42" fillId="0" borderId="6" xfId="0" applyNumberFormat="1" applyFont="1" applyBorder="1" applyAlignment="1">
      <alignment horizontal="center" vertical="center"/>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42" fillId="0" borderId="59" xfId="0" applyFont="1" applyBorder="1" applyAlignment="1">
      <alignment vertical="center" wrapText="1"/>
    </xf>
    <xf numFmtId="0" fontId="42" fillId="0" borderId="60" xfId="0" applyFont="1" applyBorder="1" applyAlignment="1">
      <alignment vertical="center" wrapText="1"/>
    </xf>
    <xf numFmtId="0" fontId="42" fillId="0" borderId="50" xfId="0" applyFont="1" applyBorder="1" applyAlignment="1">
      <alignment vertical="center" wrapText="1"/>
    </xf>
    <xf numFmtId="14" fontId="2" fillId="0" borderId="6" xfId="0" applyNumberFormat="1" applyFont="1" applyBorder="1" applyAlignment="1">
      <alignment horizontal="center" vertical="center" wrapText="1"/>
    </xf>
    <xf numFmtId="10" fontId="2" fillId="0" borderId="64" xfId="0" applyNumberFormat="1" applyFont="1" applyBorder="1" applyAlignment="1">
      <alignment horizontal="center" vertical="center" wrapText="1"/>
    </xf>
  </cellXfs>
  <cellStyles count="10">
    <cellStyle name="Moeda" xfId="1" builtinId="4"/>
    <cellStyle name="Moeda 2 2 2" xfId="2"/>
    <cellStyle name="Moeda 3 2" xfId="3"/>
    <cellStyle name="Normal" xfId="0" builtinId="0"/>
    <cellStyle name="Normal 13" xfId="4"/>
    <cellStyle name="Normal 2" xfId="5"/>
    <cellStyle name="Normal 2 2" xfId="6"/>
    <cellStyle name="Porcentagem" xfId="7" builtinId="5"/>
    <cellStyle name="Vírgula" xfId="8" builtinId="3"/>
    <cellStyle name="Vírgula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55"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200736" name="Retângulo 77">
          <a:extLst>
            <a:ext uri="{FF2B5EF4-FFF2-40B4-BE49-F238E27FC236}">
              <a16:creationId xmlns:a16="http://schemas.microsoft.com/office/drawing/2014/main" id="{58540426-76B4-4619-BD1A-555FF0391FBD}"/>
            </a:ext>
          </a:extLst>
        </xdr:cNvPr>
        <xdr:cNvSpPr>
          <a:spLocks noChangeArrowheads="1"/>
        </xdr:cNvSpPr>
      </xdr:nvSpPr>
      <xdr:spPr bwMode="auto">
        <a:xfrm>
          <a:off x="5562600" y="60121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50418" name="Retângulo 77">
          <a:extLst>
            <a:ext uri="{FF2B5EF4-FFF2-40B4-BE49-F238E27FC236}">
              <a16:creationId xmlns:a16="http://schemas.microsoft.com/office/drawing/2014/main" id="{2D4A8A42-A082-4C51-B02A-1DDF508A4DE0}"/>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51438" name="Retângulo 77">
          <a:extLst>
            <a:ext uri="{FF2B5EF4-FFF2-40B4-BE49-F238E27FC236}">
              <a16:creationId xmlns:a16="http://schemas.microsoft.com/office/drawing/2014/main" id="{0081166C-2A94-475C-B417-0F8C6F439643}"/>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52450" name="Retângulo 77">
          <a:extLst>
            <a:ext uri="{FF2B5EF4-FFF2-40B4-BE49-F238E27FC236}">
              <a16:creationId xmlns:a16="http://schemas.microsoft.com/office/drawing/2014/main" id="{139560FE-AFA4-414C-89E7-939778EE88E5}"/>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53464" name="Retângulo 77">
          <a:extLst>
            <a:ext uri="{FF2B5EF4-FFF2-40B4-BE49-F238E27FC236}">
              <a16:creationId xmlns:a16="http://schemas.microsoft.com/office/drawing/2014/main" id="{8A4CA52A-3B17-4498-A348-F58E3E5C9BA3}"/>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54454" name="Retângulo 77">
          <a:extLst>
            <a:ext uri="{FF2B5EF4-FFF2-40B4-BE49-F238E27FC236}">
              <a16:creationId xmlns:a16="http://schemas.microsoft.com/office/drawing/2014/main" id="{CCCF65C7-7C24-4211-932D-FC0918CFA867}"/>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5.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55462" name="Retângulo 77">
          <a:extLst>
            <a:ext uri="{FF2B5EF4-FFF2-40B4-BE49-F238E27FC236}">
              <a16:creationId xmlns:a16="http://schemas.microsoft.com/office/drawing/2014/main" id="{57692CF4-E9B0-4967-B728-62E34C2CCE64}"/>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56478" name="Retângulo 77">
          <a:extLst>
            <a:ext uri="{FF2B5EF4-FFF2-40B4-BE49-F238E27FC236}">
              <a16:creationId xmlns:a16="http://schemas.microsoft.com/office/drawing/2014/main" id="{3FE4CF41-9216-4D15-B550-67B9B1725A41}"/>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7.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57488" name="Retângulo 77">
          <a:extLst>
            <a:ext uri="{FF2B5EF4-FFF2-40B4-BE49-F238E27FC236}">
              <a16:creationId xmlns:a16="http://schemas.microsoft.com/office/drawing/2014/main" id="{944ED1D4-8EE5-4B0F-85FC-476F442FABE1}"/>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8.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58506" name="Retângulo 77">
          <a:extLst>
            <a:ext uri="{FF2B5EF4-FFF2-40B4-BE49-F238E27FC236}">
              <a16:creationId xmlns:a16="http://schemas.microsoft.com/office/drawing/2014/main" id="{AC05C8EB-8DEF-4687-A2F2-591DB2065621}"/>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63582" name="Retângulo 77">
          <a:extLst>
            <a:ext uri="{FF2B5EF4-FFF2-40B4-BE49-F238E27FC236}">
              <a16:creationId xmlns:a16="http://schemas.microsoft.com/office/drawing/2014/main" id="{88152F0D-B219-4C6B-A1C8-5B472656702B}"/>
            </a:ext>
          </a:extLst>
        </xdr:cNvPr>
        <xdr:cNvSpPr>
          <a:spLocks noChangeArrowheads="1"/>
        </xdr:cNvSpPr>
      </xdr:nvSpPr>
      <xdr:spPr bwMode="auto">
        <a:xfrm>
          <a:off x="5699760" y="58978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98773" name="Retângulo 77">
          <a:extLst>
            <a:ext uri="{FF2B5EF4-FFF2-40B4-BE49-F238E27FC236}">
              <a16:creationId xmlns:a16="http://schemas.microsoft.com/office/drawing/2014/main" id="{D7185ED4-4166-4704-9478-407C09EE45A9}"/>
            </a:ext>
          </a:extLst>
        </xdr:cNvPr>
        <xdr:cNvSpPr>
          <a:spLocks noChangeArrowheads="1"/>
        </xdr:cNvSpPr>
      </xdr:nvSpPr>
      <xdr:spPr bwMode="auto">
        <a:xfrm>
          <a:off x="5699760" y="58978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64602" name="Retângulo 77">
          <a:extLst>
            <a:ext uri="{FF2B5EF4-FFF2-40B4-BE49-F238E27FC236}">
              <a16:creationId xmlns:a16="http://schemas.microsoft.com/office/drawing/2014/main" id="{31AE9C6D-9654-4208-BFB4-0168CF766D37}"/>
            </a:ext>
          </a:extLst>
        </xdr:cNvPr>
        <xdr:cNvSpPr>
          <a:spLocks noChangeArrowheads="1"/>
        </xdr:cNvSpPr>
      </xdr:nvSpPr>
      <xdr:spPr bwMode="auto">
        <a:xfrm>
          <a:off x="5699760" y="58978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65602" name="Retângulo 77">
          <a:extLst>
            <a:ext uri="{FF2B5EF4-FFF2-40B4-BE49-F238E27FC236}">
              <a16:creationId xmlns:a16="http://schemas.microsoft.com/office/drawing/2014/main" id="{F2B3626C-028A-48E9-A8B1-D5872C6A7CBF}"/>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66622" name="Retângulo 77">
          <a:extLst>
            <a:ext uri="{FF2B5EF4-FFF2-40B4-BE49-F238E27FC236}">
              <a16:creationId xmlns:a16="http://schemas.microsoft.com/office/drawing/2014/main" id="{415356E2-5008-4A43-9748-A75A17D896E3}"/>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3.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67622" name="Retângulo 77">
          <a:extLst>
            <a:ext uri="{FF2B5EF4-FFF2-40B4-BE49-F238E27FC236}">
              <a16:creationId xmlns:a16="http://schemas.microsoft.com/office/drawing/2014/main" id="{3036AB4B-4EF2-4C81-B19B-11246442BCB5}"/>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4.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69630" name="Retângulo 77">
          <a:extLst>
            <a:ext uri="{FF2B5EF4-FFF2-40B4-BE49-F238E27FC236}">
              <a16:creationId xmlns:a16="http://schemas.microsoft.com/office/drawing/2014/main" id="{EBE6CD5F-5DC5-47CD-AF56-5DD8BD5F7B2F}"/>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5.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70642" name="Retângulo 77">
          <a:extLst>
            <a:ext uri="{FF2B5EF4-FFF2-40B4-BE49-F238E27FC236}">
              <a16:creationId xmlns:a16="http://schemas.microsoft.com/office/drawing/2014/main" id="{F3415802-48D6-442F-A3A5-6CA9D7583159}"/>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6.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71658" name="Retângulo 77">
          <a:extLst>
            <a:ext uri="{FF2B5EF4-FFF2-40B4-BE49-F238E27FC236}">
              <a16:creationId xmlns:a16="http://schemas.microsoft.com/office/drawing/2014/main" id="{1BB53878-E193-48B2-900F-3A6E16ADCB8E}"/>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72662" name="Retângulo 77">
          <a:extLst>
            <a:ext uri="{FF2B5EF4-FFF2-40B4-BE49-F238E27FC236}">
              <a16:creationId xmlns:a16="http://schemas.microsoft.com/office/drawing/2014/main" id="{B3F84802-555E-49AA-A9BE-1A46DD4155D9}"/>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8.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74700" name="Retângulo 77">
          <a:extLst>
            <a:ext uri="{FF2B5EF4-FFF2-40B4-BE49-F238E27FC236}">
              <a16:creationId xmlns:a16="http://schemas.microsoft.com/office/drawing/2014/main" id="{40D714BA-ADAC-437C-AF1B-180E11B34774}"/>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29.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75718" name="Retângulo 77">
          <a:extLst>
            <a:ext uri="{FF2B5EF4-FFF2-40B4-BE49-F238E27FC236}">
              <a16:creationId xmlns:a16="http://schemas.microsoft.com/office/drawing/2014/main" id="{6E4AF666-BD4E-4757-AD0E-E9D53B4D58F5}"/>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207876" name="Retângulo 77">
          <a:extLst>
            <a:ext uri="{FF2B5EF4-FFF2-40B4-BE49-F238E27FC236}">
              <a16:creationId xmlns:a16="http://schemas.microsoft.com/office/drawing/2014/main" id="{20F9DF97-6EF4-4C90-B20A-2BB296E76241}"/>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0.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77762" name="Retângulo 77">
          <a:extLst>
            <a:ext uri="{FF2B5EF4-FFF2-40B4-BE49-F238E27FC236}">
              <a16:creationId xmlns:a16="http://schemas.microsoft.com/office/drawing/2014/main" id="{41EC3602-2CEA-4170-9EF7-B9B744144F53}"/>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1.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79800" name="Retângulo 77">
          <a:extLst>
            <a:ext uri="{FF2B5EF4-FFF2-40B4-BE49-F238E27FC236}">
              <a16:creationId xmlns:a16="http://schemas.microsoft.com/office/drawing/2014/main" id="{A4467A2E-4FCC-4EBF-ACD2-47FEB6C8A2DF}"/>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2.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80818" name="Retângulo 77">
          <a:extLst>
            <a:ext uri="{FF2B5EF4-FFF2-40B4-BE49-F238E27FC236}">
              <a16:creationId xmlns:a16="http://schemas.microsoft.com/office/drawing/2014/main" id="{C33B07FB-663E-4791-81ED-F46BC58EE8EB}"/>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81832" name="Retângulo 77">
          <a:extLst>
            <a:ext uri="{FF2B5EF4-FFF2-40B4-BE49-F238E27FC236}">
              <a16:creationId xmlns:a16="http://schemas.microsoft.com/office/drawing/2014/main" id="{21DB6F5E-26DE-423B-B035-AD7F659CC20D}"/>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4.xml><?xml version="1.0" encoding="utf-8"?>
<xdr:wsDr xmlns:xdr="http://schemas.openxmlformats.org/drawingml/2006/spreadsheetDrawing" xmlns:a="http://schemas.openxmlformats.org/drawingml/2006/main">
  <xdr:twoCellAnchor>
    <xdr:from>
      <xdr:col>9</xdr:col>
      <xdr:colOff>76200</xdr:colOff>
      <xdr:row>32</xdr:row>
      <xdr:rowOff>0</xdr:rowOff>
    </xdr:from>
    <xdr:to>
      <xdr:col>9</xdr:col>
      <xdr:colOff>83820</xdr:colOff>
      <xdr:row>32</xdr:row>
      <xdr:rowOff>7620</xdr:rowOff>
    </xdr:to>
    <xdr:sp macro="" textlink="">
      <xdr:nvSpPr>
        <xdr:cNvPr id="192641" name="Retângulo 77">
          <a:extLst>
            <a:ext uri="{FF2B5EF4-FFF2-40B4-BE49-F238E27FC236}">
              <a16:creationId xmlns:a16="http://schemas.microsoft.com/office/drawing/2014/main" id="{C94EB767-8CF0-4CC5-91A4-336B452DF792}"/>
            </a:ext>
          </a:extLst>
        </xdr:cNvPr>
        <xdr:cNvSpPr>
          <a:spLocks noChangeArrowheads="1"/>
        </xdr:cNvSpPr>
      </xdr:nvSpPr>
      <xdr:spPr bwMode="auto">
        <a:xfrm>
          <a:off x="5562600" y="601980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9</xdr:col>
      <xdr:colOff>76200</xdr:colOff>
      <xdr:row>35</xdr:row>
      <xdr:rowOff>0</xdr:rowOff>
    </xdr:from>
    <xdr:to>
      <xdr:col>9</xdr:col>
      <xdr:colOff>83820</xdr:colOff>
      <xdr:row>35</xdr:row>
      <xdr:rowOff>7620</xdr:rowOff>
    </xdr:to>
    <xdr:sp macro="" textlink="">
      <xdr:nvSpPr>
        <xdr:cNvPr id="192642" name="Retângulo 77">
          <a:extLst>
            <a:ext uri="{FF2B5EF4-FFF2-40B4-BE49-F238E27FC236}">
              <a16:creationId xmlns:a16="http://schemas.microsoft.com/office/drawing/2014/main" id="{1FD3FD90-EB5C-443E-A217-F7F141AFB594}"/>
            </a:ext>
          </a:extLst>
        </xdr:cNvPr>
        <xdr:cNvSpPr>
          <a:spLocks noChangeArrowheads="1"/>
        </xdr:cNvSpPr>
      </xdr:nvSpPr>
      <xdr:spPr bwMode="auto">
        <a:xfrm>
          <a:off x="5562600" y="661416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43308" name="Retângulo 77">
          <a:extLst>
            <a:ext uri="{FF2B5EF4-FFF2-40B4-BE49-F238E27FC236}">
              <a16:creationId xmlns:a16="http://schemas.microsoft.com/office/drawing/2014/main" id="{3392A007-E9A2-44B2-AE61-0FFB4C42873A}"/>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44312" name="Retângulo 77">
          <a:extLst>
            <a:ext uri="{FF2B5EF4-FFF2-40B4-BE49-F238E27FC236}">
              <a16:creationId xmlns:a16="http://schemas.microsoft.com/office/drawing/2014/main" id="{0C84976C-DAB3-43C0-ADB0-6CA95C5D641C}"/>
            </a:ext>
          </a:extLst>
        </xdr:cNvPr>
        <xdr:cNvSpPr>
          <a:spLocks noChangeArrowheads="1"/>
        </xdr:cNvSpPr>
      </xdr:nvSpPr>
      <xdr:spPr bwMode="auto">
        <a:xfrm>
          <a:off x="5699760" y="584454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46354" name="Retângulo 77">
          <a:extLst>
            <a:ext uri="{FF2B5EF4-FFF2-40B4-BE49-F238E27FC236}">
              <a16:creationId xmlns:a16="http://schemas.microsoft.com/office/drawing/2014/main" id="{EF07D1D7-B571-4D28-804C-BBA058D5D3F1}"/>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47374" name="Retângulo 77">
          <a:extLst>
            <a:ext uri="{FF2B5EF4-FFF2-40B4-BE49-F238E27FC236}">
              <a16:creationId xmlns:a16="http://schemas.microsoft.com/office/drawing/2014/main" id="{225B7A13-18B7-4665-B324-957A5C841214}"/>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48394" name="Retângulo 77">
          <a:extLst>
            <a:ext uri="{FF2B5EF4-FFF2-40B4-BE49-F238E27FC236}">
              <a16:creationId xmlns:a16="http://schemas.microsoft.com/office/drawing/2014/main" id="{1833F503-D613-4F1B-BA98-015E00EC1EB3}"/>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76200</xdr:colOff>
      <xdr:row>31</xdr:row>
      <xdr:rowOff>0</xdr:rowOff>
    </xdr:from>
    <xdr:to>
      <xdr:col>9</xdr:col>
      <xdr:colOff>83820</xdr:colOff>
      <xdr:row>31</xdr:row>
      <xdr:rowOff>7620</xdr:rowOff>
    </xdr:to>
    <xdr:sp macro="" textlink="">
      <xdr:nvSpPr>
        <xdr:cNvPr id="149410" name="Retângulo 77">
          <a:extLst>
            <a:ext uri="{FF2B5EF4-FFF2-40B4-BE49-F238E27FC236}">
              <a16:creationId xmlns:a16="http://schemas.microsoft.com/office/drawing/2014/main" id="{1059577E-E733-4B5F-92D4-25DAC4B782C9}"/>
            </a:ext>
          </a:extLst>
        </xdr:cNvPr>
        <xdr:cNvSpPr>
          <a:spLocks noChangeArrowheads="1"/>
        </xdr:cNvSpPr>
      </xdr:nvSpPr>
      <xdr:spPr bwMode="auto">
        <a:xfrm>
          <a:off x="5699760" y="5859780"/>
          <a:ext cx="7620" cy="762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Users\user\Downloads\PH\Propostas\2011\Federal\Minist.%20Combate%20a%20Fome\PE%2013-2011\PH-077-2011%20-%20Planilha%20de%20custos-AJUSTADA%20AO%20LANC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arquivo%20PU-UFES\REPACTUA&#199;&#195;O\Gest%20Serv%20-%20apoio%20administrativo\e-mail\ajuste%20de%20planilhas\COMPARAR%20Negociada%2023.06.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ta"/>
      <sheetName val="Comprovação RAT X FAP"/>
      <sheetName val="RESUMO"/>
      <sheetName val="Nível I"/>
      <sheetName val="Nível II"/>
      <sheetName val="base"/>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lobal"/>
      <sheetName val="BASE"/>
      <sheetName val="Anexo III (1)"/>
      <sheetName val="Anexo III (2)"/>
      <sheetName val="Anexo III (3)"/>
      <sheetName val="Anexo III (4)"/>
      <sheetName val="Anexo III (5)"/>
      <sheetName val="Anexo III (6)"/>
      <sheetName val="Anexo III (7)"/>
      <sheetName val="Anexo III (8)"/>
      <sheetName val="Anexo III (9)"/>
      <sheetName val="Anexo III (10)"/>
      <sheetName val="Anexo III (11)"/>
      <sheetName val="Anexo III (12)"/>
      <sheetName val="Anexo III (13)"/>
      <sheetName val="Anexo III (14)"/>
      <sheetName val="Anexo III (15)"/>
      <sheetName val="Anexo III (16)"/>
      <sheetName val="Anexo III (17)"/>
      <sheetName val="Anexo III (18)"/>
      <sheetName val="Anexo III (19)"/>
      <sheetName val="Anexo III (20)"/>
      <sheetName val="Anexo III (21)"/>
      <sheetName val="Anexo III (22)"/>
      <sheetName val="Anexo III (23)"/>
      <sheetName val="Anexo III (24)"/>
      <sheetName val="Anexo III (26)"/>
      <sheetName val="Anexo III (27) "/>
      <sheetName val="Anexo III (28)"/>
      <sheetName val="Anexo III (29)"/>
      <sheetName val="Compl. vigilância"/>
      <sheetName val="Compl. limpeza"/>
      <sheetName val="GLOBALIZADORA"/>
      <sheetName val="Uniformes"/>
      <sheetName val="Distribuição postos"/>
    </sheetNames>
    <sheetDataSet>
      <sheetData sheetId="0" refreshError="1"/>
      <sheetData sheetId="1">
        <row r="15">
          <cell r="D15" t="str">
            <v>Recepcionista - Vitória</v>
          </cell>
        </row>
        <row r="16">
          <cell r="D16" t="str">
            <v>Recepcionista - Alegre</v>
          </cell>
        </row>
        <row r="17">
          <cell r="D17" t="str">
            <v>Supervisor</v>
          </cell>
        </row>
        <row r="18">
          <cell r="D18" t="str">
            <v>Lavador de Veículos Pesados - Vitória</v>
          </cell>
        </row>
        <row r="19">
          <cell r="D19" t="str">
            <v>Almoxarife - Vitória</v>
          </cell>
        </row>
        <row r="20">
          <cell r="D20" t="str">
            <v>Almoxarife - Alegre</v>
          </cell>
          <cell r="E20">
            <v>1</v>
          </cell>
        </row>
        <row r="21">
          <cell r="D21" t="str">
            <v>Piscineiro</v>
          </cell>
        </row>
        <row r="22">
          <cell r="D22" t="str">
            <v>Copeiro - Vitória</v>
          </cell>
        </row>
        <row r="23">
          <cell r="D23" t="str">
            <v>Contínuo (Office Boy) - Vitória</v>
          </cell>
        </row>
        <row r="24">
          <cell r="D24" t="str">
            <v>Contínuo (Office Boy) - São Mateus</v>
          </cell>
          <cell r="E24">
            <v>1</v>
          </cell>
        </row>
        <row r="25">
          <cell r="D25" t="str">
            <v>Contínuo (Office Boy) - Alegre</v>
          </cell>
          <cell r="E25">
            <v>1</v>
          </cell>
        </row>
        <row r="26">
          <cell r="D26" t="str">
            <v>Trabalhador Braçal - Vitória</v>
          </cell>
        </row>
        <row r="27">
          <cell r="D27" t="str">
            <v>Trabalhador Braçal - São Mateus</v>
          </cell>
          <cell r="E27">
            <v>3</v>
          </cell>
        </row>
        <row r="28">
          <cell r="D28" t="str">
            <v xml:space="preserve">Trabalhador Braçal - Alegre </v>
          </cell>
        </row>
        <row r="29">
          <cell r="D29" t="str">
            <v>Porteiro - Vitória</v>
          </cell>
        </row>
        <row r="30">
          <cell r="D30" t="str">
            <v>Porteiro - São Mateus</v>
          </cell>
        </row>
        <row r="31">
          <cell r="D31" t="str">
            <v>Auxiliar Odontológico - Vitória</v>
          </cell>
        </row>
        <row r="32">
          <cell r="D32" t="str">
            <v>Motorista - Vitória</v>
          </cell>
        </row>
        <row r="33">
          <cell r="D33" t="str">
            <v xml:space="preserve">Motorista - Alegre </v>
          </cell>
          <cell r="E33">
            <v>4</v>
          </cell>
        </row>
        <row r="34">
          <cell r="D34" t="str">
            <v>Operador de Trator até 15.000 Kg - São Mateus</v>
          </cell>
          <cell r="E34">
            <v>1</v>
          </cell>
        </row>
        <row r="35">
          <cell r="D35" t="str">
            <v>Operador de Trator até 15.000 Kg - Alegre</v>
          </cell>
          <cell r="E35">
            <v>1</v>
          </cell>
        </row>
        <row r="36">
          <cell r="D36" t="str">
            <v>Eletricista  de Manutenção</v>
          </cell>
        </row>
        <row r="37">
          <cell r="D37" t="str">
            <v>Mecânico Ajustador - Vitória</v>
          </cell>
        </row>
        <row r="38">
          <cell r="D38" t="str">
            <v>Ajudante de Caminhão e Armazém - Vitória</v>
          </cell>
        </row>
        <row r="39">
          <cell r="B39" t="str">
            <v>Ajudante de Caminhão e Armazém - São Mateus</v>
          </cell>
          <cell r="E39">
            <v>1</v>
          </cell>
        </row>
        <row r="40">
          <cell r="B40" t="str">
            <v>Auxiliar de Manutenção Predial (Oficial)- Vitória</v>
          </cell>
        </row>
        <row r="41">
          <cell r="B41" t="str">
            <v>Auxiliar de Manutenção Predial (Oficial)- São Mateus</v>
          </cell>
          <cell r="E41">
            <v>1</v>
          </cell>
        </row>
        <row r="42">
          <cell r="B42" t="str">
            <v>Auxiliar de Manutenção Predial (Oficial) - Alegre</v>
          </cell>
          <cell r="E42">
            <v>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8"/>
  <sheetViews>
    <sheetView showGridLines="0" workbookViewId="0">
      <selection activeCell="B2" sqref="B2:E18"/>
    </sheetView>
  </sheetViews>
  <sheetFormatPr defaultRowHeight="13.8"/>
  <cols>
    <col min="1" max="1" width="8.88671875" style="467"/>
    <col min="2" max="2" width="32.109375" style="467" customWidth="1"/>
    <col min="3" max="3" width="18.5546875" style="467" customWidth="1"/>
    <col min="4" max="4" width="16.33203125" style="467" customWidth="1"/>
    <col min="5" max="5" width="14.6640625" style="467" customWidth="1"/>
    <col min="6" max="16384" width="8.88671875" style="467"/>
  </cols>
  <sheetData>
    <row r="1" spans="2:6">
      <c r="B1" s="487"/>
      <c r="C1" s="487"/>
      <c r="D1" s="487"/>
      <c r="E1" s="487"/>
      <c r="F1" s="487"/>
    </row>
    <row r="2" spans="2:6" ht="31.95" customHeight="1">
      <c r="B2" s="488" t="s">
        <v>0</v>
      </c>
      <c r="C2" s="488" t="s">
        <v>1</v>
      </c>
      <c r="D2" s="488" t="s">
        <v>2</v>
      </c>
      <c r="E2" s="490" t="s">
        <v>3</v>
      </c>
      <c r="F2" s="468"/>
    </row>
    <row r="3" spans="2:6">
      <c r="B3" s="489"/>
      <c r="C3" s="489"/>
      <c r="D3" s="489"/>
      <c r="E3" s="491"/>
      <c r="F3" s="468"/>
    </row>
    <row r="4" spans="2:6" ht="27" customHeight="1">
      <c r="B4" s="469" t="s">
        <v>4</v>
      </c>
      <c r="C4" s="470">
        <v>2</v>
      </c>
      <c r="D4" s="470">
        <v>1</v>
      </c>
      <c r="E4" s="471">
        <v>1</v>
      </c>
      <c r="F4" s="468"/>
    </row>
    <row r="5" spans="2:6" ht="27" customHeight="1">
      <c r="B5" s="469" t="s">
        <v>5</v>
      </c>
      <c r="C5" s="470">
        <v>5</v>
      </c>
      <c r="D5" s="470">
        <v>2</v>
      </c>
      <c r="E5" s="471">
        <v>2</v>
      </c>
      <c r="F5" s="468"/>
    </row>
    <row r="6" spans="2:6" ht="27" customHeight="1">
      <c r="B6" s="469" t="s">
        <v>6</v>
      </c>
      <c r="C6" s="470">
        <v>36</v>
      </c>
      <c r="D6" s="472">
        <v>12</v>
      </c>
      <c r="E6" s="471">
        <v>9</v>
      </c>
      <c r="F6" s="468"/>
    </row>
    <row r="7" spans="2:6" ht="27" customHeight="1">
      <c r="B7" s="469" t="s">
        <v>7</v>
      </c>
      <c r="C7" s="470">
        <v>7</v>
      </c>
      <c r="D7" s="470">
        <v>4</v>
      </c>
      <c r="E7" s="471">
        <v>2</v>
      </c>
      <c r="F7" s="468"/>
    </row>
    <row r="8" spans="2:6" ht="27" customHeight="1">
      <c r="B8" s="469" t="s">
        <v>8</v>
      </c>
      <c r="C8" s="470">
        <v>3</v>
      </c>
      <c r="D8" s="470">
        <v>1</v>
      </c>
      <c r="E8" s="471">
        <v>1</v>
      </c>
      <c r="F8" s="468"/>
    </row>
    <row r="9" spans="2:6" ht="27" customHeight="1">
      <c r="B9" s="469" t="s">
        <v>9</v>
      </c>
      <c r="C9" s="470">
        <v>5</v>
      </c>
      <c r="D9" s="470">
        <v>2</v>
      </c>
      <c r="E9" s="471">
        <v>2</v>
      </c>
      <c r="F9" s="468"/>
    </row>
    <row r="10" spans="2:6" ht="27" customHeight="1">
      <c r="B10" s="469" t="s">
        <v>10</v>
      </c>
      <c r="C10" s="470">
        <v>4</v>
      </c>
      <c r="D10" s="470">
        <v>3</v>
      </c>
      <c r="E10" s="471">
        <v>1</v>
      </c>
      <c r="F10" s="468"/>
    </row>
    <row r="11" spans="2:6" ht="27" customHeight="1">
      <c r="B11" s="469" t="s">
        <v>11</v>
      </c>
      <c r="C11" s="470">
        <v>1</v>
      </c>
      <c r="D11" s="470" t="s">
        <v>12</v>
      </c>
      <c r="E11" s="471" t="s">
        <v>12</v>
      </c>
      <c r="F11" s="468"/>
    </row>
    <row r="12" spans="2:6" ht="27" customHeight="1">
      <c r="B12" s="469" t="s">
        <v>13</v>
      </c>
      <c r="C12" s="470">
        <v>1</v>
      </c>
      <c r="D12" s="470" t="s">
        <v>12</v>
      </c>
      <c r="E12" s="471" t="s">
        <v>12</v>
      </c>
      <c r="F12" s="468"/>
    </row>
    <row r="13" spans="2:6" ht="27" customHeight="1">
      <c r="B13" s="469" t="s">
        <v>14</v>
      </c>
      <c r="C13" s="470">
        <v>1</v>
      </c>
      <c r="D13" s="470" t="s">
        <v>12</v>
      </c>
      <c r="E13" s="471" t="s">
        <v>12</v>
      </c>
      <c r="F13" s="468"/>
    </row>
    <row r="14" spans="2:6" ht="27" customHeight="1">
      <c r="B14" s="469" t="s">
        <v>15</v>
      </c>
      <c r="C14" s="470">
        <v>4</v>
      </c>
      <c r="D14" s="470">
        <v>4</v>
      </c>
      <c r="E14" s="471">
        <v>2</v>
      </c>
      <c r="F14" s="468"/>
    </row>
    <row r="15" spans="2:6" ht="27" customHeight="1">
      <c r="B15" s="469" t="s">
        <v>16</v>
      </c>
      <c r="C15" s="470">
        <v>2</v>
      </c>
      <c r="D15" s="470">
        <v>2</v>
      </c>
      <c r="E15" s="471">
        <v>2</v>
      </c>
      <c r="F15" s="468"/>
    </row>
    <row r="16" spans="2:6" ht="27" customHeight="1">
      <c r="B16" s="469" t="s">
        <v>17</v>
      </c>
      <c r="C16" s="470" t="s">
        <v>12</v>
      </c>
      <c r="D16" s="470">
        <v>1</v>
      </c>
      <c r="E16" s="471">
        <v>1</v>
      </c>
      <c r="F16" s="468"/>
    </row>
    <row r="17" spans="2:7" ht="27" customHeight="1">
      <c r="B17" s="469" t="s">
        <v>18</v>
      </c>
      <c r="C17" s="470">
        <v>2</v>
      </c>
      <c r="D17" s="472" t="s">
        <v>12</v>
      </c>
      <c r="E17" s="473" t="s">
        <v>12</v>
      </c>
      <c r="F17" s="468"/>
    </row>
    <row r="18" spans="2:7" ht="27" customHeight="1">
      <c r="B18" s="474" t="s">
        <v>19</v>
      </c>
      <c r="C18" s="475">
        <f>SUM(C4:C17)</f>
        <v>73</v>
      </c>
      <c r="D18" s="476">
        <f>SUM(D4:D17)</f>
        <v>32</v>
      </c>
      <c r="E18" s="477">
        <f>SUM(E4:E17)</f>
        <v>23</v>
      </c>
      <c r="F18" s="468"/>
      <c r="G18" s="478"/>
    </row>
  </sheetData>
  <mergeCells count="5">
    <mergeCell ref="B1:F1"/>
    <mergeCell ref="B2:B3"/>
    <mergeCell ref="C2:C3"/>
    <mergeCell ref="D2:D3"/>
    <mergeCell ref="E2:E3"/>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81" sqref="N81:P81"/>
    </sheetView>
  </sheetViews>
  <sheetFormatPr defaultColWidth="9.109375" defaultRowHeight="13.2"/>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CÁLCULO'!B24</f>
        <v>Vitória/ES</v>
      </c>
      <c r="O12" s="740"/>
      <c r="P12" s="741"/>
    </row>
    <row r="13" spans="1:16" ht="15.6">
      <c r="A13" s="7" t="s">
        <v>30</v>
      </c>
      <c r="B13" s="680" t="s">
        <v>455</v>
      </c>
      <c r="C13" s="681"/>
      <c r="D13" s="681"/>
      <c r="E13" s="681"/>
      <c r="F13" s="681"/>
      <c r="G13" s="681"/>
      <c r="H13" s="681"/>
      <c r="I13" s="681"/>
      <c r="J13" s="681"/>
      <c r="K13" s="681"/>
      <c r="L13" s="681"/>
      <c r="M13" s="682"/>
      <c r="N13" s="739" t="str">
        <f>'BASE DE CÁLCULO'!D24</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CÁLCULO'!C24</f>
        <v>Atendente de Refeitório</v>
      </c>
      <c r="B20" s="625"/>
      <c r="C20" s="625"/>
      <c r="D20" s="626"/>
      <c r="E20" s="751" t="s">
        <v>459</v>
      </c>
      <c r="F20" s="752"/>
      <c r="G20" s="752"/>
      <c r="H20" s="752"/>
      <c r="I20" s="752"/>
      <c r="J20" s="752"/>
      <c r="K20" s="752"/>
      <c r="L20" s="752"/>
      <c r="M20" s="753"/>
      <c r="N20" s="789">
        <f>'BASE DE CÁLCULO'!F24</f>
        <v>5</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ht="16.5" customHeight="1">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Atendente de Refeitório</v>
      </c>
      <c r="O30" s="740"/>
      <c r="P30" s="741"/>
    </row>
    <row r="31" spans="1:16" ht="15.6">
      <c r="A31" s="7">
        <v>2</v>
      </c>
      <c r="B31" s="680" t="s">
        <v>466</v>
      </c>
      <c r="C31" s="681"/>
      <c r="D31" s="681"/>
      <c r="E31" s="681"/>
      <c r="F31" s="681"/>
      <c r="G31" s="681"/>
      <c r="H31" s="681"/>
      <c r="I31" s="681"/>
      <c r="J31" s="681"/>
      <c r="K31" s="681"/>
      <c r="L31" s="681"/>
      <c r="M31" s="682"/>
      <c r="N31" s="781" t="s">
        <v>569</v>
      </c>
      <c r="O31" s="779"/>
      <c r="P31" s="780"/>
    </row>
    <row r="32" spans="1:16" ht="15.6">
      <c r="A32" s="7">
        <v>3</v>
      </c>
      <c r="B32" s="680" t="s">
        <v>468</v>
      </c>
      <c r="C32" s="681"/>
      <c r="D32" s="681"/>
      <c r="E32" s="681"/>
      <c r="F32" s="681"/>
      <c r="G32" s="681"/>
      <c r="H32" s="681"/>
      <c r="I32" s="681"/>
      <c r="J32" s="681"/>
      <c r="K32" s="681"/>
      <c r="L32" s="681"/>
      <c r="M32" s="682"/>
      <c r="N32" s="772">
        <f>'BASE DE CÁLCULO'!G24</f>
        <v>1304.8</v>
      </c>
      <c r="O32" s="773"/>
      <c r="P32" s="774"/>
    </row>
    <row r="33" spans="1:16" ht="15.6">
      <c r="A33" s="7">
        <v>4</v>
      </c>
      <c r="B33" s="680" t="s">
        <v>469</v>
      </c>
      <c r="C33" s="681"/>
      <c r="D33" s="681"/>
      <c r="E33" s="681"/>
      <c r="F33" s="681"/>
      <c r="G33" s="681"/>
      <c r="H33" s="681"/>
      <c r="I33" s="681"/>
      <c r="J33" s="681"/>
      <c r="K33" s="681"/>
      <c r="L33" s="681"/>
      <c r="M33" s="682"/>
      <c r="N33" s="782" t="str">
        <f>'BASE DE CÁLCULO'!E24</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1304.8</v>
      </c>
      <c r="O39" s="773"/>
      <c r="P39" s="774"/>
    </row>
    <row r="40" spans="1:16" ht="15.6">
      <c r="A40" s="7" t="s">
        <v>27</v>
      </c>
      <c r="B40" s="680" t="s">
        <v>474</v>
      </c>
      <c r="C40" s="681"/>
      <c r="D40" s="681"/>
      <c r="E40" s="681"/>
      <c r="F40" s="681"/>
      <c r="G40" s="681"/>
      <c r="H40" s="681"/>
      <c r="I40" s="681"/>
      <c r="J40" s="681"/>
      <c r="K40" s="681"/>
      <c r="L40" s="681"/>
      <c r="M40" s="682"/>
      <c r="N40" s="772" t="str">
        <f>'BASE DE CÁLCULO'!I24</f>
        <v>-</v>
      </c>
      <c r="O40" s="773"/>
      <c r="P40" s="774"/>
    </row>
    <row r="41" spans="1:16" ht="15.6">
      <c r="A41" s="7" t="s">
        <v>30</v>
      </c>
      <c r="B41" s="680" t="s">
        <v>475</v>
      </c>
      <c r="C41" s="681"/>
      <c r="D41" s="681"/>
      <c r="E41" s="681"/>
      <c r="F41" s="681"/>
      <c r="G41" s="681"/>
      <c r="H41" s="681"/>
      <c r="I41" s="681"/>
      <c r="J41" s="681"/>
      <c r="K41" s="681"/>
      <c r="L41" s="681"/>
      <c r="M41" s="682"/>
      <c r="N41" s="772" t="str">
        <f>'BASE DE CÁLCULO'!J24</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1304.8</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148.75</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198.33</v>
      </c>
      <c r="O53" s="773"/>
      <c r="P53" s="774"/>
    </row>
    <row r="54" spans="1:16" ht="15.6">
      <c r="A54" s="633" t="s">
        <v>480</v>
      </c>
      <c r="B54" s="634"/>
      <c r="C54" s="634"/>
      <c r="D54" s="634"/>
      <c r="E54" s="634"/>
      <c r="F54" s="634"/>
      <c r="G54" s="634"/>
      <c r="H54" s="634"/>
      <c r="I54" s="634"/>
      <c r="J54" s="634"/>
      <c r="K54" s="634"/>
      <c r="L54" s="634"/>
      <c r="M54" s="635"/>
      <c r="N54" s="775">
        <f>SUM(N52:P53)</f>
        <v>347.08</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260.95999999999998</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32.619999999999997</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39.14</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19.57</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13.05</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7.83</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2.61</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104.38</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480.16</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CÁLCULO'!K24</f>
        <v>137.26</v>
      </c>
      <c r="O75" s="773"/>
      <c r="P75" s="774"/>
    </row>
    <row r="76" spans="1:16" ht="16.5" customHeight="1">
      <c r="A76" s="7" t="s">
        <v>27</v>
      </c>
      <c r="B76" s="680" t="s">
        <v>331</v>
      </c>
      <c r="C76" s="681"/>
      <c r="D76" s="681"/>
      <c r="E76" s="681"/>
      <c r="F76" s="681"/>
      <c r="G76" s="681"/>
      <c r="H76" s="681"/>
      <c r="I76" s="681"/>
      <c r="J76" s="681"/>
      <c r="K76" s="681"/>
      <c r="L76" s="681"/>
      <c r="M76" s="682"/>
      <c r="N76" s="772">
        <f>'BASE DE CÁLCULO'!L24</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CÁLCULO'!N24</f>
        <v>235.52</v>
      </c>
      <c r="O77" s="773"/>
      <c r="P77" s="774"/>
    </row>
    <row r="78" spans="1:16" ht="15.6">
      <c r="A78" s="7" t="s">
        <v>32</v>
      </c>
      <c r="B78" s="680" t="s">
        <v>509</v>
      </c>
      <c r="C78" s="681"/>
      <c r="D78" s="681"/>
      <c r="E78" s="681"/>
      <c r="F78" s="681"/>
      <c r="G78" s="681"/>
      <c r="H78" s="681"/>
      <c r="I78" s="681"/>
      <c r="J78" s="681"/>
      <c r="K78" s="681"/>
      <c r="L78" s="681"/>
      <c r="M78" s="682"/>
      <c r="N78" s="772">
        <f>'BASE DE CÁLCULO'!M24</f>
        <v>0</v>
      </c>
      <c r="O78" s="773"/>
      <c r="P78" s="774"/>
    </row>
    <row r="79" spans="1:16" ht="15.6">
      <c r="A79" s="7" t="s">
        <v>56</v>
      </c>
      <c r="B79" s="680" t="s">
        <v>510</v>
      </c>
      <c r="C79" s="681"/>
      <c r="D79" s="681"/>
      <c r="E79" s="681"/>
      <c r="F79" s="681"/>
      <c r="G79" s="681"/>
      <c r="H79" s="681"/>
      <c r="I79" s="681"/>
      <c r="J79" s="681"/>
      <c r="K79" s="681"/>
      <c r="L79" s="681"/>
      <c r="M79" s="682"/>
      <c r="N79" s="772">
        <f>'BASE DE CÁLCULO'!Q24</f>
        <v>25.3</v>
      </c>
      <c r="O79" s="773"/>
      <c r="P79" s="774"/>
    </row>
    <row r="80" spans="1:16" ht="15.6">
      <c r="A80" s="7" t="s">
        <v>58</v>
      </c>
      <c r="B80" s="680" t="s">
        <v>511</v>
      </c>
      <c r="C80" s="681"/>
      <c r="D80" s="681"/>
      <c r="E80" s="681"/>
      <c r="F80" s="681"/>
      <c r="G80" s="681"/>
      <c r="H80" s="681"/>
      <c r="I80" s="681"/>
      <c r="J80" s="681"/>
      <c r="K80" s="681"/>
      <c r="L80" s="681"/>
      <c r="M80" s="682"/>
      <c r="N80" s="714">
        <f>'BASE DE CÁLCULO'!S24</f>
        <v>173.4</v>
      </c>
      <c r="O80" s="715"/>
      <c r="P80" s="716"/>
    </row>
    <row r="81" spans="1:16" ht="16.2" customHeight="1">
      <c r="A81" s="7" t="s">
        <v>60</v>
      </c>
      <c r="B81" s="680" t="s">
        <v>334</v>
      </c>
      <c r="C81" s="681"/>
      <c r="D81" s="681"/>
      <c r="E81" s="681"/>
      <c r="F81" s="681"/>
      <c r="G81" s="681"/>
      <c r="H81" s="681"/>
      <c r="I81" s="681"/>
      <c r="J81" s="681"/>
      <c r="K81" s="681"/>
      <c r="L81" s="681"/>
      <c r="M81" s="682"/>
      <c r="N81" s="772">
        <f>'BASE DE CÁLCULO'!R24</f>
        <v>6.43</v>
      </c>
      <c r="O81" s="773"/>
      <c r="P81" s="774"/>
    </row>
    <row r="82" spans="1:16" ht="15.6">
      <c r="A82" s="633" t="s">
        <v>480</v>
      </c>
      <c r="B82" s="634"/>
      <c r="C82" s="634"/>
      <c r="D82" s="634"/>
      <c r="E82" s="634"/>
      <c r="F82" s="634"/>
      <c r="G82" s="634"/>
      <c r="H82" s="634"/>
      <c r="I82" s="634"/>
      <c r="J82" s="634"/>
      <c r="K82" s="634"/>
      <c r="L82" s="634"/>
      <c r="M82" s="635"/>
      <c r="N82" s="775">
        <f>SUM(N75:P81)</f>
        <v>736.02</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347.08</v>
      </c>
      <c r="O88" s="769"/>
      <c r="P88" s="770"/>
    </row>
    <row r="89" spans="1:16" ht="15.6">
      <c r="A89" s="11" t="s">
        <v>491</v>
      </c>
      <c r="B89" s="699" t="s">
        <v>518</v>
      </c>
      <c r="C89" s="700"/>
      <c r="D89" s="700"/>
      <c r="E89" s="700"/>
      <c r="F89" s="700"/>
      <c r="G89" s="700"/>
      <c r="H89" s="700"/>
      <c r="I89" s="700"/>
      <c r="J89" s="700"/>
      <c r="K89" s="700"/>
      <c r="L89" s="700"/>
      <c r="M89" s="701"/>
      <c r="N89" s="769">
        <f>N68</f>
        <v>480.16</v>
      </c>
      <c r="O89" s="769"/>
      <c r="P89" s="770"/>
    </row>
    <row r="90" spans="1:16" ht="15.6">
      <c r="A90" s="9" t="s">
        <v>506</v>
      </c>
      <c r="B90" s="699" t="s">
        <v>519</v>
      </c>
      <c r="C90" s="700"/>
      <c r="D90" s="700"/>
      <c r="E90" s="700"/>
      <c r="F90" s="700"/>
      <c r="G90" s="700"/>
      <c r="H90" s="700"/>
      <c r="I90" s="700"/>
      <c r="J90" s="700"/>
      <c r="K90" s="700"/>
      <c r="L90" s="700"/>
      <c r="M90" s="701"/>
      <c r="N90" s="769">
        <f>N82</f>
        <v>736.02</v>
      </c>
      <c r="O90" s="769"/>
      <c r="P90" s="770"/>
    </row>
    <row r="91" spans="1:16" ht="15.6">
      <c r="A91" s="633" t="s">
        <v>480</v>
      </c>
      <c r="B91" s="702"/>
      <c r="C91" s="702"/>
      <c r="D91" s="702"/>
      <c r="E91" s="702"/>
      <c r="F91" s="702"/>
      <c r="G91" s="702"/>
      <c r="H91" s="702"/>
      <c r="I91" s="702"/>
      <c r="J91" s="702"/>
      <c r="K91" s="702"/>
      <c r="L91" s="702"/>
      <c r="M91" s="703"/>
      <c r="N91" s="765">
        <f>SUM(N88:P90)</f>
        <v>1563.26</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5.48</v>
      </c>
      <c r="O95" s="769"/>
      <c r="P95" s="770"/>
    </row>
    <row r="96" spans="1:16" ht="15.6">
      <c r="A96" s="7" t="s">
        <v>27</v>
      </c>
      <c r="B96" s="680" t="s">
        <v>522</v>
      </c>
      <c r="C96" s="681"/>
      <c r="D96" s="681"/>
      <c r="E96" s="681"/>
      <c r="F96" s="681"/>
      <c r="G96" s="681"/>
      <c r="H96" s="681"/>
      <c r="I96" s="681"/>
      <c r="J96" s="681"/>
      <c r="K96" s="681"/>
      <c r="L96" s="681"/>
      <c r="M96" s="682"/>
      <c r="N96" s="768">
        <f>N46*'BASE DE CÁLCULO'!C89</f>
        <v>0.39</v>
      </c>
      <c r="O96" s="769"/>
      <c r="P96" s="770"/>
    </row>
    <row r="97" spans="1:16" ht="15.6">
      <c r="A97" s="7" t="s">
        <v>30</v>
      </c>
      <c r="B97" s="680" t="s">
        <v>523</v>
      </c>
      <c r="C97" s="681"/>
      <c r="D97" s="681"/>
      <c r="E97" s="681"/>
      <c r="F97" s="681"/>
      <c r="G97" s="681"/>
      <c r="H97" s="681"/>
      <c r="I97" s="681"/>
      <c r="J97" s="681"/>
      <c r="K97" s="681"/>
      <c r="L97" s="681"/>
      <c r="M97" s="682"/>
      <c r="N97" s="768">
        <f>N46*'BASE DE CÁLCULO'!C90</f>
        <v>0.13</v>
      </c>
      <c r="O97" s="769"/>
      <c r="P97" s="770"/>
    </row>
    <row r="98" spans="1:16" ht="15.6">
      <c r="A98" s="7" t="s">
        <v>32</v>
      </c>
      <c r="B98" s="680" t="s">
        <v>524</v>
      </c>
      <c r="C98" s="681"/>
      <c r="D98" s="681"/>
      <c r="E98" s="681"/>
      <c r="F98" s="681"/>
      <c r="G98" s="681"/>
      <c r="H98" s="681"/>
      <c r="I98" s="681"/>
      <c r="J98" s="681"/>
      <c r="K98" s="681"/>
      <c r="L98" s="681"/>
      <c r="M98" s="682"/>
      <c r="N98" s="768">
        <f>N46*'BASE DE CÁLCULO'!C91</f>
        <v>25.31</v>
      </c>
      <c r="O98" s="769"/>
      <c r="P98" s="770"/>
    </row>
    <row r="99" spans="1:16" ht="15.6">
      <c r="A99" s="7" t="s">
        <v>56</v>
      </c>
      <c r="B99" s="680" t="s">
        <v>525</v>
      </c>
      <c r="C99" s="681"/>
      <c r="D99" s="681"/>
      <c r="E99" s="681"/>
      <c r="F99" s="681"/>
      <c r="G99" s="681"/>
      <c r="H99" s="681"/>
      <c r="I99" s="681"/>
      <c r="J99" s="681"/>
      <c r="K99" s="681"/>
      <c r="L99" s="681"/>
      <c r="M99" s="682"/>
      <c r="N99" s="768">
        <f>N46*'BASE DE CÁLCULO'!C92</f>
        <v>9.26</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0.78</v>
      </c>
      <c r="O100" s="684"/>
      <c r="P100" s="685"/>
    </row>
    <row r="101" spans="1:16" ht="15.6">
      <c r="A101" s="633" t="s">
        <v>480</v>
      </c>
      <c r="B101" s="634"/>
      <c r="C101" s="634"/>
      <c r="D101" s="634"/>
      <c r="E101" s="634"/>
      <c r="F101" s="634"/>
      <c r="G101" s="634"/>
      <c r="H101" s="634"/>
      <c r="I101" s="634"/>
      <c r="J101" s="634"/>
      <c r="K101" s="634"/>
      <c r="L101" s="634"/>
      <c r="M101" s="635"/>
      <c r="N101" s="765">
        <f>SUM(N95:P100)</f>
        <v>41.35</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142"/>
      <c r="B106" s="143"/>
      <c r="C106" s="143"/>
      <c r="D106" s="143"/>
      <c r="E106" s="143"/>
      <c r="F106" s="143"/>
      <c r="G106" s="143"/>
      <c r="H106" s="143"/>
      <c r="I106" s="143"/>
      <c r="J106" s="143"/>
      <c r="K106" s="143"/>
      <c r="L106" s="143"/>
      <c r="M106" s="143"/>
      <c r="N106" s="143"/>
      <c r="O106" s="143"/>
      <c r="P106" s="14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148.75</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14.87</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24.79</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0.39</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6</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3.13</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1.04</v>
      </c>
      <c r="O115" s="769"/>
      <c r="P115" s="770"/>
    </row>
    <row r="116" spans="1:16" ht="15.6">
      <c r="A116" s="633" t="s">
        <v>480</v>
      </c>
      <c r="B116" s="634"/>
      <c r="C116" s="634"/>
      <c r="D116" s="634"/>
      <c r="E116" s="634"/>
      <c r="F116" s="634"/>
      <c r="G116" s="634"/>
      <c r="H116" s="634"/>
      <c r="I116" s="634"/>
      <c r="J116" s="634"/>
      <c r="K116" s="634"/>
      <c r="L116" s="634"/>
      <c r="M116" s="635"/>
      <c r="N116" s="765">
        <f>SUM(N109:P115)</f>
        <v>198.97</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5.6">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7.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198.97</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198.97</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CÁLCULO'!O24</f>
        <v>102.7</v>
      </c>
      <c r="O133" s="769"/>
      <c r="P133" s="770"/>
    </row>
    <row r="134" spans="1:16" ht="16.5" customHeight="1">
      <c r="A134" s="7" t="s">
        <v>27</v>
      </c>
      <c r="B134" s="680" t="s">
        <v>547</v>
      </c>
      <c r="C134" s="681"/>
      <c r="D134" s="681"/>
      <c r="E134" s="681"/>
      <c r="F134" s="681"/>
      <c r="G134" s="681"/>
      <c r="H134" s="681"/>
      <c r="I134" s="681"/>
      <c r="J134" s="681"/>
      <c r="K134" s="681"/>
      <c r="L134" s="681"/>
      <c r="M134" s="682"/>
      <c r="N134" s="768" t="str">
        <f>'BASE DE CÁLCULO'!P24</f>
        <v>-</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102.7</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160.55000000000001</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337.16</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400.07</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216.26</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1114.04</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1304.8</v>
      </c>
      <c r="O153" s="769"/>
      <c r="P153" s="770"/>
    </row>
    <row r="154" spans="1:17" ht="15.6">
      <c r="A154" s="7" t="s">
        <v>27</v>
      </c>
      <c r="B154" s="680" t="s">
        <v>561</v>
      </c>
      <c r="C154" s="681"/>
      <c r="D154" s="681"/>
      <c r="E154" s="681"/>
      <c r="F154" s="681"/>
      <c r="G154" s="681"/>
      <c r="H154" s="681"/>
      <c r="I154" s="681"/>
      <c r="J154" s="681"/>
      <c r="K154" s="681"/>
      <c r="L154" s="681"/>
      <c r="M154" s="682"/>
      <c r="N154" s="768">
        <f>N91</f>
        <v>1563.26</v>
      </c>
      <c r="O154" s="769"/>
      <c r="P154" s="770"/>
    </row>
    <row r="155" spans="1:17" ht="15.6">
      <c r="A155" s="7" t="s">
        <v>30</v>
      </c>
      <c r="B155" s="680" t="s">
        <v>562</v>
      </c>
      <c r="C155" s="681"/>
      <c r="D155" s="681"/>
      <c r="E155" s="681"/>
      <c r="F155" s="681"/>
      <c r="G155" s="681"/>
      <c r="H155" s="681"/>
      <c r="I155" s="681"/>
      <c r="J155" s="681"/>
      <c r="K155" s="681"/>
      <c r="L155" s="681"/>
      <c r="M155" s="682"/>
      <c r="N155" s="768">
        <f>N101</f>
        <v>41.35</v>
      </c>
      <c r="O155" s="769"/>
      <c r="P155" s="770"/>
    </row>
    <row r="156" spans="1:17" ht="15.6">
      <c r="A156" s="7" t="s">
        <v>32</v>
      </c>
      <c r="B156" s="680" t="s">
        <v>563</v>
      </c>
      <c r="C156" s="681"/>
      <c r="D156" s="681"/>
      <c r="E156" s="681"/>
      <c r="F156" s="681"/>
      <c r="G156" s="681"/>
      <c r="H156" s="681"/>
      <c r="I156" s="681"/>
      <c r="J156" s="681"/>
      <c r="K156" s="681"/>
      <c r="L156" s="681"/>
      <c r="M156" s="682"/>
      <c r="N156" s="768">
        <f>N129</f>
        <v>198.97</v>
      </c>
      <c r="O156" s="769"/>
      <c r="P156" s="770"/>
    </row>
    <row r="157" spans="1:17" ht="15.6">
      <c r="A157" s="7" t="s">
        <v>56</v>
      </c>
      <c r="B157" s="680" t="s">
        <v>564</v>
      </c>
      <c r="C157" s="681"/>
      <c r="D157" s="681"/>
      <c r="E157" s="681"/>
      <c r="F157" s="681"/>
      <c r="G157" s="681"/>
      <c r="H157" s="681"/>
      <c r="I157" s="681"/>
      <c r="J157" s="681"/>
      <c r="K157" s="681"/>
      <c r="L157" s="681"/>
      <c r="M157" s="682"/>
      <c r="N157" s="768">
        <f>N136</f>
        <v>102.7</v>
      </c>
      <c r="O157" s="769"/>
      <c r="P157" s="770"/>
    </row>
    <row r="158" spans="1:17" ht="15.6">
      <c r="A158" s="633" t="s">
        <v>565</v>
      </c>
      <c r="B158" s="634"/>
      <c r="C158" s="634"/>
      <c r="D158" s="634"/>
      <c r="E158" s="634"/>
      <c r="F158" s="634"/>
      <c r="G158" s="634"/>
      <c r="H158" s="634"/>
      <c r="I158" s="634"/>
      <c r="J158" s="634"/>
      <c r="K158" s="634"/>
      <c r="L158" s="634"/>
      <c r="M158" s="635"/>
      <c r="N158" s="765">
        <f>SUM(N153:P157)</f>
        <v>3211.08</v>
      </c>
      <c r="O158" s="766"/>
      <c r="P158" s="767"/>
    </row>
    <row r="159" spans="1:17" ht="15.6">
      <c r="A159" s="7" t="s">
        <v>58</v>
      </c>
      <c r="B159" s="680" t="s">
        <v>566</v>
      </c>
      <c r="C159" s="681"/>
      <c r="D159" s="681"/>
      <c r="E159" s="681"/>
      <c r="F159" s="681"/>
      <c r="G159" s="681"/>
      <c r="H159" s="681"/>
      <c r="I159" s="681"/>
      <c r="J159" s="681"/>
      <c r="K159" s="681"/>
      <c r="L159" s="681"/>
      <c r="M159" s="682"/>
      <c r="N159" s="768">
        <f>N147</f>
        <v>1114.04</v>
      </c>
      <c r="O159" s="769"/>
      <c r="P159" s="770"/>
    </row>
    <row r="160" spans="1:17" ht="15.6">
      <c r="A160" s="633" t="s">
        <v>567</v>
      </c>
      <c r="B160" s="634"/>
      <c r="C160" s="634"/>
      <c r="D160" s="634"/>
      <c r="E160" s="634"/>
      <c r="F160" s="634"/>
      <c r="G160" s="634"/>
      <c r="H160" s="634"/>
      <c r="I160" s="634"/>
      <c r="J160" s="634"/>
      <c r="K160" s="634"/>
      <c r="L160" s="634"/>
      <c r="M160" s="635"/>
      <c r="N160" s="765">
        <f>SUM(N158:P159)</f>
        <v>4325.12</v>
      </c>
      <c r="O160" s="766"/>
      <c r="P160" s="767"/>
    </row>
    <row r="161" spans="1:16" ht="15.6">
      <c r="A161" s="633" t="s">
        <v>568</v>
      </c>
      <c r="B161" s="634"/>
      <c r="C161" s="634"/>
      <c r="D161" s="634"/>
      <c r="E161" s="634"/>
      <c r="F161" s="634"/>
      <c r="G161" s="634"/>
      <c r="H161" s="634"/>
      <c r="I161" s="634"/>
      <c r="J161" s="634"/>
      <c r="K161" s="634"/>
      <c r="L161" s="634"/>
      <c r="M161" s="635"/>
      <c r="N161" s="665">
        <f>N160*N20</f>
        <v>21625.599999999999</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74" sqref="N74:P74"/>
    </sheetView>
  </sheetViews>
  <sheetFormatPr defaultColWidth="9.109375" defaultRowHeight="13.2"/>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CÁLCULO'!B25</f>
        <v>Vitória/ES</v>
      </c>
      <c r="O12" s="740"/>
      <c r="P12" s="741"/>
    </row>
    <row r="13" spans="1:16" ht="15.6">
      <c r="A13" s="7" t="s">
        <v>30</v>
      </c>
      <c r="B13" s="680" t="s">
        <v>455</v>
      </c>
      <c r="C13" s="681"/>
      <c r="D13" s="681"/>
      <c r="E13" s="681"/>
      <c r="F13" s="681"/>
      <c r="G13" s="681"/>
      <c r="H13" s="681"/>
      <c r="I13" s="681"/>
      <c r="J13" s="681"/>
      <c r="K13" s="681"/>
      <c r="L13" s="681"/>
      <c r="M13" s="682"/>
      <c r="N13" s="739" t="str">
        <f>'BASE DE CÁLCULO'!D25</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CÁLCULO'!C25</f>
        <v>Auxliar de Cozinha I</v>
      </c>
      <c r="B20" s="625"/>
      <c r="C20" s="625"/>
      <c r="D20" s="626"/>
      <c r="E20" s="751" t="s">
        <v>459</v>
      </c>
      <c r="F20" s="752"/>
      <c r="G20" s="752"/>
      <c r="H20" s="752"/>
      <c r="I20" s="752"/>
      <c r="J20" s="752"/>
      <c r="K20" s="752"/>
      <c r="L20" s="752"/>
      <c r="M20" s="753"/>
      <c r="N20" s="789">
        <f>'BASE DE CÁLCULO'!F25</f>
        <v>36</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Auxliar de Cozinha I</v>
      </c>
      <c r="O30" s="740"/>
      <c r="P30" s="741"/>
    </row>
    <row r="31" spans="1:16" ht="15.6">
      <c r="A31" s="7">
        <v>2</v>
      </c>
      <c r="B31" s="680" t="s">
        <v>466</v>
      </c>
      <c r="C31" s="681"/>
      <c r="D31" s="681"/>
      <c r="E31" s="681"/>
      <c r="F31" s="681"/>
      <c r="G31" s="681"/>
      <c r="H31" s="681"/>
      <c r="I31" s="681"/>
      <c r="J31" s="681"/>
      <c r="K31" s="681"/>
      <c r="L31" s="681"/>
      <c r="M31" s="682"/>
      <c r="N31" s="781" t="s">
        <v>570</v>
      </c>
      <c r="O31" s="779"/>
      <c r="P31" s="780"/>
    </row>
    <row r="32" spans="1:16" ht="15.6">
      <c r="A32" s="7">
        <v>3</v>
      </c>
      <c r="B32" s="680" t="s">
        <v>468</v>
      </c>
      <c r="C32" s="681"/>
      <c r="D32" s="681"/>
      <c r="E32" s="681"/>
      <c r="F32" s="681"/>
      <c r="G32" s="681"/>
      <c r="H32" s="681"/>
      <c r="I32" s="681"/>
      <c r="J32" s="681"/>
      <c r="K32" s="681"/>
      <c r="L32" s="681"/>
      <c r="M32" s="682"/>
      <c r="N32" s="772">
        <f>'BASE DE CÁLCULO'!G25</f>
        <v>1304.8</v>
      </c>
      <c r="O32" s="773"/>
      <c r="P32" s="774"/>
    </row>
    <row r="33" spans="1:16" ht="15.6">
      <c r="A33" s="7">
        <v>4</v>
      </c>
      <c r="B33" s="680" t="s">
        <v>469</v>
      </c>
      <c r="C33" s="681"/>
      <c r="D33" s="681"/>
      <c r="E33" s="681"/>
      <c r="F33" s="681"/>
      <c r="G33" s="681"/>
      <c r="H33" s="681"/>
      <c r="I33" s="681"/>
      <c r="J33" s="681"/>
      <c r="K33" s="681"/>
      <c r="L33" s="681"/>
      <c r="M33" s="682"/>
      <c r="N33" s="782" t="str">
        <f>'BASE DE CÁLCULO'!E25</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1304.8</v>
      </c>
      <c r="O39" s="773"/>
      <c r="P39" s="774"/>
    </row>
    <row r="40" spans="1:16" ht="15.6">
      <c r="A40" s="7" t="s">
        <v>27</v>
      </c>
      <c r="B40" s="680" t="s">
        <v>474</v>
      </c>
      <c r="C40" s="681"/>
      <c r="D40" s="681"/>
      <c r="E40" s="681"/>
      <c r="F40" s="681"/>
      <c r="G40" s="681"/>
      <c r="H40" s="681"/>
      <c r="I40" s="681"/>
      <c r="J40" s="681"/>
      <c r="K40" s="681"/>
      <c r="L40" s="681"/>
      <c r="M40" s="682"/>
      <c r="N40" s="772" t="str">
        <f>'BASE DE CÁLCULO'!I25</f>
        <v>-</v>
      </c>
      <c r="O40" s="773"/>
      <c r="P40" s="774"/>
    </row>
    <row r="41" spans="1:16" ht="15.6">
      <c r="A41" s="7" t="s">
        <v>30</v>
      </c>
      <c r="B41" s="680" t="s">
        <v>475</v>
      </c>
      <c r="C41" s="681"/>
      <c r="D41" s="681"/>
      <c r="E41" s="681"/>
      <c r="F41" s="681"/>
      <c r="G41" s="681"/>
      <c r="H41" s="681"/>
      <c r="I41" s="681"/>
      <c r="J41" s="681"/>
      <c r="K41" s="681"/>
      <c r="L41" s="681"/>
      <c r="M41" s="682"/>
      <c r="N41" s="772">
        <f>'BASE DE CÁLCULO'!J25</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1547.2</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176.38</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235.17</v>
      </c>
      <c r="O53" s="773"/>
      <c r="P53" s="774"/>
    </row>
    <row r="54" spans="1:16" ht="15.6">
      <c r="A54" s="633" t="s">
        <v>480</v>
      </c>
      <c r="B54" s="634"/>
      <c r="C54" s="634"/>
      <c r="D54" s="634"/>
      <c r="E54" s="634"/>
      <c r="F54" s="634"/>
      <c r="G54" s="634"/>
      <c r="H54" s="634"/>
      <c r="I54" s="634"/>
      <c r="J54" s="634"/>
      <c r="K54" s="634"/>
      <c r="L54" s="634"/>
      <c r="M54" s="635"/>
      <c r="N54" s="775">
        <f>SUM(N52:P53)</f>
        <v>411.55</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309.44</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38.68</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46.42</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23.21</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15.47</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9.2799999999999994</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3.09</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123.78</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569.37</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CÁLCULO'!K25</f>
        <v>137.26</v>
      </c>
      <c r="O75" s="773"/>
      <c r="P75" s="774"/>
    </row>
    <row r="76" spans="1:16" ht="16.5" customHeight="1">
      <c r="A76" s="7" t="s">
        <v>27</v>
      </c>
      <c r="B76" s="680" t="s">
        <v>331</v>
      </c>
      <c r="C76" s="681"/>
      <c r="D76" s="681"/>
      <c r="E76" s="681"/>
      <c r="F76" s="681"/>
      <c r="G76" s="681"/>
      <c r="H76" s="681"/>
      <c r="I76" s="681"/>
      <c r="J76" s="681"/>
      <c r="K76" s="681"/>
      <c r="L76" s="681"/>
      <c r="M76" s="682"/>
      <c r="N76" s="772">
        <f>'BASE DE CÁLCULO'!L25</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CÁLCULO'!N25</f>
        <v>235.52</v>
      </c>
      <c r="O77" s="773"/>
      <c r="P77" s="774"/>
    </row>
    <row r="78" spans="1:16" ht="15.6">
      <c r="A78" s="7" t="s">
        <v>32</v>
      </c>
      <c r="B78" s="680" t="s">
        <v>509</v>
      </c>
      <c r="C78" s="681"/>
      <c r="D78" s="681"/>
      <c r="E78" s="681"/>
      <c r="F78" s="681"/>
      <c r="G78" s="681"/>
      <c r="H78" s="681"/>
      <c r="I78" s="681"/>
      <c r="J78" s="681"/>
      <c r="K78" s="681"/>
      <c r="L78" s="681"/>
      <c r="M78" s="682"/>
      <c r="N78" s="772">
        <f>'BASE DE CÁLCULO'!M25</f>
        <v>105.69</v>
      </c>
      <c r="O78" s="773"/>
      <c r="P78" s="774"/>
    </row>
    <row r="79" spans="1:16" ht="15.6">
      <c r="A79" s="7" t="s">
        <v>56</v>
      </c>
      <c r="B79" s="680" t="s">
        <v>510</v>
      </c>
      <c r="C79" s="681"/>
      <c r="D79" s="681"/>
      <c r="E79" s="681"/>
      <c r="F79" s="681"/>
      <c r="G79" s="681"/>
      <c r="H79" s="681"/>
      <c r="I79" s="681"/>
      <c r="J79" s="681"/>
      <c r="K79" s="681"/>
      <c r="L79" s="681"/>
      <c r="M79" s="682"/>
      <c r="N79" s="772">
        <f>'BASE DE CÁLCULO'!Q25</f>
        <v>25.3</v>
      </c>
      <c r="O79" s="773"/>
      <c r="P79" s="774"/>
    </row>
    <row r="80" spans="1:16" ht="15.6">
      <c r="A80" s="7" t="s">
        <v>58</v>
      </c>
      <c r="B80" s="680" t="s">
        <v>511</v>
      </c>
      <c r="C80" s="681"/>
      <c r="D80" s="681"/>
      <c r="E80" s="681"/>
      <c r="F80" s="681"/>
      <c r="G80" s="681"/>
      <c r="H80" s="681"/>
      <c r="I80" s="681"/>
      <c r="J80" s="681"/>
      <c r="K80" s="681"/>
      <c r="L80" s="681"/>
      <c r="M80" s="682"/>
      <c r="N80" s="714">
        <f>'BASE DE CÁLCULO'!S25</f>
        <v>173.4</v>
      </c>
      <c r="O80" s="715"/>
      <c r="P80" s="716"/>
    </row>
    <row r="81" spans="1:16" ht="16.2" customHeight="1">
      <c r="A81" s="7" t="s">
        <v>60</v>
      </c>
      <c r="B81" s="680" t="s">
        <v>334</v>
      </c>
      <c r="C81" s="681"/>
      <c r="D81" s="681"/>
      <c r="E81" s="681"/>
      <c r="F81" s="681"/>
      <c r="G81" s="681"/>
      <c r="H81" s="681"/>
      <c r="I81" s="681"/>
      <c r="J81" s="681"/>
      <c r="K81" s="681"/>
      <c r="L81" s="681"/>
      <c r="M81" s="682"/>
      <c r="N81" s="772">
        <f>'BASE DE CÁLCULO'!R25</f>
        <v>6.43</v>
      </c>
      <c r="O81" s="773"/>
      <c r="P81" s="774"/>
    </row>
    <row r="82" spans="1:16" ht="15.6">
      <c r="A82" s="633" t="s">
        <v>480</v>
      </c>
      <c r="B82" s="634"/>
      <c r="C82" s="634"/>
      <c r="D82" s="634"/>
      <c r="E82" s="634"/>
      <c r="F82" s="634"/>
      <c r="G82" s="634"/>
      <c r="H82" s="634"/>
      <c r="I82" s="634"/>
      <c r="J82" s="634"/>
      <c r="K82" s="634"/>
      <c r="L82" s="634"/>
      <c r="M82" s="635"/>
      <c r="N82" s="775">
        <f>SUM(N75:P81)</f>
        <v>841.71</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411.55</v>
      </c>
      <c r="O88" s="769"/>
      <c r="P88" s="770"/>
    </row>
    <row r="89" spans="1:16" ht="15.6">
      <c r="A89" s="11" t="s">
        <v>491</v>
      </c>
      <c r="B89" s="699" t="s">
        <v>518</v>
      </c>
      <c r="C89" s="700"/>
      <c r="D89" s="700"/>
      <c r="E89" s="700"/>
      <c r="F89" s="700"/>
      <c r="G89" s="700"/>
      <c r="H89" s="700"/>
      <c r="I89" s="700"/>
      <c r="J89" s="700"/>
      <c r="K89" s="700"/>
      <c r="L89" s="700"/>
      <c r="M89" s="701"/>
      <c r="N89" s="769">
        <f>N68</f>
        <v>569.37</v>
      </c>
      <c r="O89" s="769"/>
      <c r="P89" s="770"/>
    </row>
    <row r="90" spans="1:16" ht="15.6">
      <c r="A90" s="9" t="s">
        <v>506</v>
      </c>
      <c r="B90" s="699" t="s">
        <v>519</v>
      </c>
      <c r="C90" s="700"/>
      <c r="D90" s="700"/>
      <c r="E90" s="700"/>
      <c r="F90" s="700"/>
      <c r="G90" s="700"/>
      <c r="H90" s="700"/>
      <c r="I90" s="700"/>
      <c r="J90" s="700"/>
      <c r="K90" s="700"/>
      <c r="L90" s="700"/>
      <c r="M90" s="701"/>
      <c r="N90" s="769">
        <f>N82</f>
        <v>841.71</v>
      </c>
      <c r="O90" s="769"/>
      <c r="P90" s="770"/>
    </row>
    <row r="91" spans="1:16" ht="15.6">
      <c r="A91" s="633" t="s">
        <v>480</v>
      </c>
      <c r="B91" s="702"/>
      <c r="C91" s="702"/>
      <c r="D91" s="702"/>
      <c r="E91" s="702"/>
      <c r="F91" s="702"/>
      <c r="G91" s="702"/>
      <c r="H91" s="702"/>
      <c r="I91" s="702"/>
      <c r="J91" s="702"/>
      <c r="K91" s="702"/>
      <c r="L91" s="702"/>
      <c r="M91" s="703"/>
      <c r="N91" s="765">
        <f>SUM(N88:P90)</f>
        <v>1822.63</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6.5</v>
      </c>
      <c r="O95" s="769"/>
      <c r="P95" s="770"/>
    </row>
    <row r="96" spans="1:16" ht="15.6">
      <c r="A96" s="7" t="s">
        <v>27</v>
      </c>
      <c r="B96" s="680" t="s">
        <v>522</v>
      </c>
      <c r="C96" s="681"/>
      <c r="D96" s="681"/>
      <c r="E96" s="681"/>
      <c r="F96" s="681"/>
      <c r="G96" s="681"/>
      <c r="H96" s="681"/>
      <c r="I96" s="681"/>
      <c r="J96" s="681"/>
      <c r="K96" s="681"/>
      <c r="L96" s="681"/>
      <c r="M96" s="682"/>
      <c r="N96" s="768">
        <f>N46*'BASE DE CÁLCULO'!C89</f>
        <v>0.46</v>
      </c>
      <c r="O96" s="769"/>
      <c r="P96" s="770"/>
    </row>
    <row r="97" spans="1:16" ht="15.6">
      <c r="A97" s="7" t="s">
        <v>30</v>
      </c>
      <c r="B97" s="680" t="s">
        <v>523</v>
      </c>
      <c r="C97" s="681"/>
      <c r="D97" s="681"/>
      <c r="E97" s="681"/>
      <c r="F97" s="681"/>
      <c r="G97" s="681"/>
      <c r="H97" s="681"/>
      <c r="I97" s="681"/>
      <c r="J97" s="681"/>
      <c r="K97" s="681"/>
      <c r="L97" s="681"/>
      <c r="M97" s="682"/>
      <c r="N97" s="768">
        <f>N46*'BASE DE CÁLCULO'!C90</f>
        <v>0.15</v>
      </c>
      <c r="O97" s="769"/>
      <c r="P97" s="770"/>
    </row>
    <row r="98" spans="1:16" ht="15.6">
      <c r="A98" s="7" t="s">
        <v>32</v>
      </c>
      <c r="B98" s="680" t="s">
        <v>524</v>
      </c>
      <c r="C98" s="681"/>
      <c r="D98" s="681"/>
      <c r="E98" s="681"/>
      <c r="F98" s="681"/>
      <c r="G98" s="681"/>
      <c r="H98" s="681"/>
      <c r="I98" s="681"/>
      <c r="J98" s="681"/>
      <c r="K98" s="681"/>
      <c r="L98" s="681"/>
      <c r="M98" s="682"/>
      <c r="N98" s="768">
        <f>N46*'BASE DE CÁLCULO'!C91</f>
        <v>30.02</v>
      </c>
      <c r="O98" s="769"/>
      <c r="P98" s="770"/>
    </row>
    <row r="99" spans="1:16" ht="15.6">
      <c r="A99" s="7" t="s">
        <v>56</v>
      </c>
      <c r="B99" s="680" t="s">
        <v>525</v>
      </c>
      <c r="C99" s="681"/>
      <c r="D99" s="681"/>
      <c r="E99" s="681"/>
      <c r="F99" s="681"/>
      <c r="G99" s="681"/>
      <c r="H99" s="681"/>
      <c r="I99" s="681"/>
      <c r="J99" s="681"/>
      <c r="K99" s="681"/>
      <c r="L99" s="681"/>
      <c r="M99" s="682"/>
      <c r="N99" s="768">
        <f>N46*'BASE DE CÁLCULO'!C92</f>
        <v>10.99</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0.93</v>
      </c>
      <c r="O100" s="684"/>
      <c r="P100" s="685"/>
    </row>
    <row r="101" spans="1:16" ht="15.6">
      <c r="A101" s="633" t="s">
        <v>480</v>
      </c>
      <c r="B101" s="634"/>
      <c r="C101" s="634"/>
      <c r="D101" s="634"/>
      <c r="E101" s="634"/>
      <c r="F101" s="634"/>
      <c r="G101" s="634"/>
      <c r="H101" s="634"/>
      <c r="I101" s="634"/>
      <c r="J101" s="634"/>
      <c r="K101" s="634"/>
      <c r="L101" s="634"/>
      <c r="M101" s="635"/>
      <c r="N101" s="765">
        <f>SUM(N95:P100)</f>
        <v>49.05</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ht="15.75" customHeight="1">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176.38</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17.64</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29.4</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0.46</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7.12</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3.71</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1.24</v>
      </c>
      <c r="O115" s="769"/>
      <c r="P115" s="770"/>
    </row>
    <row r="116" spans="1:16" ht="15.6">
      <c r="A116" s="633" t="s">
        <v>480</v>
      </c>
      <c r="B116" s="634"/>
      <c r="C116" s="634"/>
      <c r="D116" s="634"/>
      <c r="E116" s="634"/>
      <c r="F116" s="634"/>
      <c r="G116" s="634"/>
      <c r="H116" s="634"/>
      <c r="I116" s="634"/>
      <c r="J116" s="634"/>
      <c r="K116" s="634"/>
      <c r="L116" s="634"/>
      <c r="M116" s="635"/>
      <c r="N116" s="765">
        <f>SUM(N109:P115)</f>
        <v>235.95</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3.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235.95</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235.95</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CÁLCULO'!O25</f>
        <v>254.12</v>
      </c>
      <c r="O133" s="769"/>
      <c r="P133" s="770"/>
    </row>
    <row r="134" spans="1:16" ht="16.5" customHeight="1">
      <c r="A134" s="7" t="s">
        <v>27</v>
      </c>
      <c r="B134" s="680" t="s">
        <v>547</v>
      </c>
      <c r="C134" s="681"/>
      <c r="D134" s="681"/>
      <c r="E134" s="681"/>
      <c r="F134" s="681"/>
      <c r="G134" s="681"/>
      <c r="H134" s="681"/>
      <c r="I134" s="681"/>
      <c r="J134" s="681"/>
      <c r="K134" s="681"/>
      <c r="L134" s="681"/>
      <c r="M134" s="682"/>
      <c r="N134" s="768" t="str">
        <f>'BASE DE CÁLCULO'!P25</f>
        <v>-</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254.12</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195.45</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410.44</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487.02</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263.26</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1356.17</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1547.2</v>
      </c>
      <c r="O153" s="769"/>
      <c r="P153" s="770"/>
    </row>
    <row r="154" spans="1:17" ht="15.6">
      <c r="A154" s="7" t="s">
        <v>27</v>
      </c>
      <c r="B154" s="680" t="s">
        <v>561</v>
      </c>
      <c r="C154" s="681"/>
      <c r="D154" s="681"/>
      <c r="E154" s="681"/>
      <c r="F154" s="681"/>
      <c r="G154" s="681"/>
      <c r="H154" s="681"/>
      <c r="I154" s="681"/>
      <c r="J154" s="681"/>
      <c r="K154" s="681"/>
      <c r="L154" s="681"/>
      <c r="M154" s="682"/>
      <c r="N154" s="768">
        <f>N91</f>
        <v>1822.63</v>
      </c>
      <c r="O154" s="769"/>
      <c r="P154" s="770"/>
    </row>
    <row r="155" spans="1:17" ht="15.6">
      <c r="A155" s="7" t="s">
        <v>30</v>
      </c>
      <c r="B155" s="680" t="s">
        <v>562</v>
      </c>
      <c r="C155" s="681"/>
      <c r="D155" s="681"/>
      <c r="E155" s="681"/>
      <c r="F155" s="681"/>
      <c r="G155" s="681"/>
      <c r="H155" s="681"/>
      <c r="I155" s="681"/>
      <c r="J155" s="681"/>
      <c r="K155" s="681"/>
      <c r="L155" s="681"/>
      <c r="M155" s="682"/>
      <c r="N155" s="768">
        <f>N101</f>
        <v>49.05</v>
      </c>
      <c r="O155" s="769"/>
      <c r="P155" s="770"/>
    </row>
    <row r="156" spans="1:17" ht="15.6">
      <c r="A156" s="7" t="s">
        <v>32</v>
      </c>
      <c r="B156" s="680" t="s">
        <v>563</v>
      </c>
      <c r="C156" s="681"/>
      <c r="D156" s="681"/>
      <c r="E156" s="681"/>
      <c r="F156" s="681"/>
      <c r="G156" s="681"/>
      <c r="H156" s="681"/>
      <c r="I156" s="681"/>
      <c r="J156" s="681"/>
      <c r="K156" s="681"/>
      <c r="L156" s="681"/>
      <c r="M156" s="682"/>
      <c r="N156" s="768">
        <f>N129</f>
        <v>235.95</v>
      </c>
      <c r="O156" s="769"/>
      <c r="P156" s="770"/>
    </row>
    <row r="157" spans="1:17" ht="15.6">
      <c r="A157" s="7" t="s">
        <v>56</v>
      </c>
      <c r="B157" s="680" t="s">
        <v>564</v>
      </c>
      <c r="C157" s="681"/>
      <c r="D157" s="681"/>
      <c r="E157" s="681"/>
      <c r="F157" s="681"/>
      <c r="G157" s="681"/>
      <c r="H157" s="681"/>
      <c r="I157" s="681"/>
      <c r="J157" s="681"/>
      <c r="K157" s="681"/>
      <c r="L157" s="681"/>
      <c r="M157" s="682"/>
      <c r="N157" s="768">
        <f>N136</f>
        <v>254.12</v>
      </c>
      <c r="O157" s="769"/>
      <c r="P157" s="770"/>
    </row>
    <row r="158" spans="1:17" ht="15.6">
      <c r="A158" s="633" t="s">
        <v>565</v>
      </c>
      <c r="B158" s="634"/>
      <c r="C158" s="634"/>
      <c r="D158" s="634"/>
      <c r="E158" s="634"/>
      <c r="F158" s="634"/>
      <c r="G158" s="634"/>
      <c r="H158" s="634"/>
      <c r="I158" s="634"/>
      <c r="J158" s="634"/>
      <c r="K158" s="634"/>
      <c r="L158" s="634"/>
      <c r="M158" s="635"/>
      <c r="N158" s="765">
        <f>SUM(N153:P157)</f>
        <v>3908.95</v>
      </c>
      <c r="O158" s="766"/>
      <c r="P158" s="767"/>
    </row>
    <row r="159" spans="1:17" ht="15.6">
      <c r="A159" s="7" t="s">
        <v>58</v>
      </c>
      <c r="B159" s="680" t="s">
        <v>566</v>
      </c>
      <c r="C159" s="681"/>
      <c r="D159" s="681"/>
      <c r="E159" s="681"/>
      <c r="F159" s="681"/>
      <c r="G159" s="681"/>
      <c r="H159" s="681"/>
      <c r="I159" s="681"/>
      <c r="J159" s="681"/>
      <c r="K159" s="681"/>
      <c r="L159" s="681"/>
      <c r="M159" s="682"/>
      <c r="N159" s="768">
        <f>N147</f>
        <v>1356.17</v>
      </c>
      <c r="O159" s="769"/>
      <c r="P159" s="770"/>
    </row>
    <row r="160" spans="1:17" ht="15.6">
      <c r="A160" s="633" t="s">
        <v>567</v>
      </c>
      <c r="B160" s="634"/>
      <c r="C160" s="634"/>
      <c r="D160" s="634"/>
      <c r="E160" s="634"/>
      <c r="F160" s="634"/>
      <c r="G160" s="634"/>
      <c r="H160" s="634"/>
      <c r="I160" s="634"/>
      <c r="J160" s="634"/>
      <c r="K160" s="634"/>
      <c r="L160" s="634"/>
      <c r="M160" s="635"/>
      <c r="N160" s="765">
        <f>SUM(N158:P159)</f>
        <v>5265.12</v>
      </c>
      <c r="O160" s="766"/>
      <c r="P160" s="767"/>
    </row>
    <row r="161" spans="1:16" ht="15.6">
      <c r="A161" s="633" t="s">
        <v>568</v>
      </c>
      <c r="B161" s="634"/>
      <c r="C161" s="634"/>
      <c r="D161" s="634"/>
      <c r="E161" s="634"/>
      <c r="F161" s="634"/>
      <c r="G161" s="634"/>
      <c r="H161" s="634"/>
      <c r="I161" s="634"/>
      <c r="J161" s="634"/>
      <c r="K161" s="634"/>
      <c r="L161" s="634"/>
      <c r="M161" s="635"/>
      <c r="N161" s="665">
        <f>N160*N20</f>
        <v>189544.32000000001</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W46" sqref="W46"/>
    </sheetView>
  </sheetViews>
  <sheetFormatPr defaultColWidth="9.109375" defaultRowHeight="13.2"/>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CÁLCULO'!B26</f>
        <v>Vitória/ES</v>
      </c>
      <c r="O12" s="740"/>
      <c r="P12" s="741"/>
    </row>
    <row r="13" spans="1:16" ht="15.6">
      <c r="A13" s="7" t="s">
        <v>30</v>
      </c>
      <c r="B13" s="680" t="s">
        <v>455</v>
      </c>
      <c r="C13" s="681"/>
      <c r="D13" s="681"/>
      <c r="E13" s="681"/>
      <c r="F13" s="681"/>
      <c r="G13" s="681"/>
      <c r="H13" s="681"/>
      <c r="I13" s="681"/>
      <c r="J13" s="681"/>
      <c r="K13" s="681"/>
      <c r="L13" s="681"/>
      <c r="M13" s="682"/>
      <c r="N13" s="739" t="str">
        <f>'BASE DE CÁLCULO'!D26</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CÁLCULO'!C26</f>
        <v>Auxliar de Cozinha II</v>
      </c>
      <c r="B20" s="625"/>
      <c r="C20" s="625"/>
      <c r="D20" s="626"/>
      <c r="E20" s="751" t="s">
        <v>459</v>
      </c>
      <c r="F20" s="752"/>
      <c r="G20" s="752"/>
      <c r="H20" s="752"/>
      <c r="I20" s="752"/>
      <c r="J20" s="752"/>
      <c r="K20" s="752"/>
      <c r="L20" s="752"/>
      <c r="M20" s="753"/>
      <c r="N20" s="789">
        <f>'BASE DE CÁLCULO'!F26</f>
        <v>7</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Auxliar de Cozinha II</v>
      </c>
      <c r="O30" s="740"/>
      <c r="P30" s="741"/>
    </row>
    <row r="31" spans="1:16" ht="15.6">
      <c r="A31" s="7">
        <v>2</v>
      </c>
      <c r="B31" s="680" t="s">
        <v>466</v>
      </c>
      <c r="C31" s="681"/>
      <c r="D31" s="681"/>
      <c r="E31" s="681"/>
      <c r="F31" s="681"/>
      <c r="G31" s="681"/>
      <c r="H31" s="681"/>
      <c r="I31" s="681"/>
      <c r="J31" s="681"/>
      <c r="K31" s="681"/>
      <c r="L31" s="681"/>
      <c r="M31" s="682"/>
      <c r="N31" s="781" t="s">
        <v>570</v>
      </c>
      <c r="O31" s="779"/>
      <c r="P31" s="780"/>
    </row>
    <row r="32" spans="1:16" ht="15.6">
      <c r="A32" s="7">
        <v>3</v>
      </c>
      <c r="B32" s="680" t="s">
        <v>468</v>
      </c>
      <c r="C32" s="681"/>
      <c r="D32" s="681"/>
      <c r="E32" s="681"/>
      <c r="F32" s="681"/>
      <c r="G32" s="681"/>
      <c r="H32" s="681"/>
      <c r="I32" s="681"/>
      <c r="J32" s="681"/>
      <c r="K32" s="681"/>
      <c r="L32" s="681"/>
      <c r="M32" s="682"/>
      <c r="N32" s="772">
        <f>'BASE DE CÁLCULO'!G26</f>
        <v>1435.28</v>
      </c>
      <c r="O32" s="773"/>
      <c r="P32" s="774"/>
    </row>
    <row r="33" spans="1:16" ht="15.6">
      <c r="A33" s="7">
        <v>4</v>
      </c>
      <c r="B33" s="680" t="s">
        <v>469</v>
      </c>
      <c r="C33" s="681"/>
      <c r="D33" s="681"/>
      <c r="E33" s="681"/>
      <c r="F33" s="681"/>
      <c r="G33" s="681"/>
      <c r="H33" s="681"/>
      <c r="I33" s="681"/>
      <c r="J33" s="681"/>
      <c r="K33" s="681"/>
      <c r="L33" s="681"/>
      <c r="M33" s="682"/>
      <c r="N33" s="782" t="str">
        <f>'BASE DE CÁLCULO'!E26</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1435.28</v>
      </c>
      <c r="O39" s="773"/>
      <c r="P39" s="774"/>
    </row>
    <row r="40" spans="1:16" ht="15.6">
      <c r="A40" s="7" t="s">
        <v>27</v>
      </c>
      <c r="B40" s="680" t="s">
        <v>474</v>
      </c>
      <c r="C40" s="681"/>
      <c r="D40" s="681"/>
      <c r="E40" s="681"/>
      <c r="F40" s="681"/>
      <c r="G40" s="681"/>
      <c r="H40" s="681"/>
      <c r="I40" s="681"/>
      <c r="J40" s="681"/>
      <c r="K40" s="681"/>
      <c r="L40" s="681"/>
      <c r="M40" s="682"/>
      <c r="N40" s="772" t="str">
        <f>'BASE DE CÁLCULO'!I26</f>
        <v>-</v>
      </c>
      <c r="O40" s="773"/>
      <c r="P40" s="774"/>
    </row>
    <row r="41" spans="1:16" ht="15.6">
      <c r="A41" s="7" t="s">
        <v>30</v>
      </c>
      <c r="B41" s="680" t="s">
        <v>475</v>
      </c>
      <c r="C41" s="681"/>
      <c r="D41" s="681"/>
      <c r="E41" s="681"/>
      <c r="F41" s="681"/>
      <c r="G41" s="681"/>
      <c r="H41" s="681"/>
      <c r="I41" s="681"/>
      <c r="J41" s="681"/>
      <c r="K41" s="681"/>
      <c r="L41" s="681"/>
      <c r="M41" s="682"/>
      <c r="N41" s="772">
        <f>'BASE DE CÁLCULO'!J26</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1677.68</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191.26</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255.01</v>
      </c>
      <c r="O53" s="773"/>
      <c r="P53" s="774"/>
    </row>
    <row r="54" spans="1:16" ht="15.6">
      <c r="A54" s="633" t="s">
        <v>480</v>
      </c>
      <c r="B54" s="634"/>
      <c r="C54" s="634"/>
      <c r="D54" s="634"/>
      <c r="E54" s="634"/>
      <c r="F54" s="634"/>
      <c r="G54" s="634"/>
      <c r="H54" s="634"/>
      <c r="I54" s="634"/>
      <c r="J54" s="634"/>
      <c r="K54" s="634"/>
      <c r="L54" s="634"/>
      <c r="M54" s="635"/>
      <c r="N54" s="775">
        <f>SUM(N52:P53)</f>
        <v>446.27</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335.54</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41.94</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50.33</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25.17</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16.78</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10.07</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3.36</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134.21</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617.4</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CÁLCULO'!K26</f>
        <v>133.34</v>
      </c>
      <c r="O75" s="773"/>
      <c r="P75" s="774"/>
    </row>
    <row r="76" spans="1:16" ht="16.5" customHeight="1">
      <c r="A76" s="7" t="s">
        <v>27</v>
      </c>
      <c r="B76" s="680" t="s">
        <v>331</v>
      </c>
      <c r="C76" s="681"/>
      <c r="D76" s="681"/>
      <c r="E76" s="681"/>
      <c r="F76" s="681"/>
      <c r="G76" s="681"/>
      <c r="H76" s="681"/>
      <c r="I76" s="681"/>
      <c r="J76" s="681"/>
      <c r="K76" s="681"/>
      <c r="L76" s="681"/>
      <c r="M76" s="682"/>
      <c r="N76" s="772">
        <f>'BASE DE CÁLCULO'!L26</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CÁLCULO'!N26</f>
        <v>235.52</v>
      </c>
      <c r="O77" s="773"/>
      <c r="P77" s="774"/>
    </row>
    <row r="78" spans="1:16" ht="15.6">
      <c r="A78" s="7" t="s">
        <v>32</v>
      </c>
      <c r="B78" s="680" t="s">
        <v>509</v>
      </c>
      <c r="C78" s="681"/>
      <c r="D78" s="681"/>
      <c r="E78" s="681"/>
      <c r="F78" s="681"/>
      <c r="G78" s="681"/>
      <c r="H78" s="681"/>
      <c r="I78" s="681"/>
      <c r="J78" s="681"/>
      <c r="K78" s="681"/>
      <c r="L78" s="681"/>
      <c r="M78" s="682"/>
      <c r="N78" s="772">
        <f>'BASE DE CÁLCULO'!M26</f>
        <v>0</v>
      </c>
      <c r="O78" s="773"/>
      <c r="P78" s="774"/>
    </row>
    <row r="79" spans="1:16" ht="15.6">
      <c r="A79" s="7" t="s">
        <v>56</v>
      </c>
      <c r="B79" s="680" t="s">
        <v>510</v>
      </c>
      <c r="C79" s="681"/>
      <c r="D79" s="681"/>
      <c r="E79" s="681"/>
      <c r="F79" s="681"/>
      <c r="G79" s="681"/>
      <c r="H79" s="681"/>
      <c r="I79" s="681"/>
      <c r="J79" s="681"/>
      <c r="K79" s="681"/>
      <c r="L79" s="681"/>
      <c r="M79" s="682"/>
      <c r="N79" s="772">
        <f>'BASE DE CÁLCULO'!Q26</f>
        <v>25.3</v>
      </c>
      <c r="O79" s="773"/>
      <c r="P79" s="774"/>
    </row>
    <row r="80" spans="1:16" ht="15.6">
      <c r="A80" s="7" t="s">
        <v>58</v>
      </c>
      <c r="B80" s="680" t="s">
        <v>511</v>
      </c>
      <c r="C80" s="681"/>
      <c r="D80" s="681"/>
      <c r="E80" s="681"/>
      <c r="F80" s="681"/>
      <c r="G80" s="681"/>
      <c r="H80" s="681"/>
      <c r="I80" s="681"/>
      <c r="J80" s="681"/>
      <c r="K80" s="681"/>
      <c r="L80" s="681"/>
      <c r="M80" s="682"/>
      <c r="N80" s="714">
        <f>'BASE DE CÁLCULO'!S26</f>
        <v>170.79</v>
      </c>
      <c r="O80" s="715"/>
      <c r="P80" s="716"/>
    </row>
    <row r="81" spans="1:16" ht="16.2" customHeight="1">
      <c r="A81" s="7" t="s">
        <v>60</v>
      </c>
      <c r="B81" s="680" t="s">
        <v>334</v>
      </c>
      <c r="C81" s="681"/>
      <c r="D81" s="681"/>
      <c r="E81" s="681"/>
      <c r="F81" s="681"/>
      <c r="G81" s="681"/>
      <c r="H81" s="681"/>
      <c r="I81" s="681"/>
      <c r="J81" s="681"/>
      <c r="K81" s="681"/>
      <c r="L81" s="681"/>
      <c r="M81" s="682"/>
      <c r="N81" s="772">
        <f>'BASE DE CÁLCULO'!R26</f>
        <v>6.43</v>
      </c>
      <c r="O81" s="773"/>
      <c r="P81" s="774"/>
    </row>
    <row r="82" spans="1:16" ht="15.6">
      <c r="A82" s="633" t="s">
        <v>480</v>
      </c>
      <c r="B82" s="634"/>
      <c r="C82" s="634"/>
      <c r="D82" s="634"/>
      <c r="E82" s="634"/>
      <c r="F82" s="634"/>
      <c r="G82" s="634"/>
      <c r="H82" s="634"/>
      <c r="I82" s="634"/>
      <c r="J82" s="634"/>
      <c r="K82" s="634"/>
      <c r="L82" s="634"/>
      <c r="M82" s="635"/>
      <c r="N82" s="775">
        <f>SUM(N75:P81)</f>
        <v>729.49</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446.27</v>
      </c>
      <c r="O88" s="769"/>
      <c r="P88" s="770"/>
    </row>
    <row r="89" spans="1:16" ht="15.6">
      <c r="A89" s="11" t="s">
        <v>491</v>
      </c>
      <c r="B89" s="699" t="s">
        <v>518</v>
      </c>
      <c r="C89" s="700"/>
      <c r="D89" s="700"/>
      <c r="E89" s="700"/>
      <c r="F89" s="700"/>
      <c r="G89" s="700"/>
      <c r="H89" s="700"/>
      <c r="I89" s="700"/>
      <c r="J89" s="700"/>
      <c r="K89" s="700"/>
      <c r="L89" s="700"/>
      <c r="M89" s="701"/>
      <c r="N89" s="769">
        <f>N68</f>
        <v>617.4</v>
      </c>
      <c r="O89" s="769"/>
      <c r="P89" s="770"/>
    </row>
    <row r="90" spans="1:16" ht="15.6">
      <c r="A90" s="9" t="s">
        <v>506</v>
      </c>
      <c r="B90" s="699" t="s">
        <v>519</v>
      </c>
      <c r="C90" s="700"/>
      <c r="D90" s="700"/>
      <c r="E90" s="700"/>
      <c r="F90" s="700"/>
      <c r="G90" s="700"/>
      <c r="H90" s="700"/>
      <c r="I90" s="700"/>
      <c r="J90" s="700"/>
      <c r="K90" s="700"/>
      <c r="L90" s="700"/>
      <c r="M90" s="701"/>
      <c r="N90" s="769">
        <f>N82</f>
        <v>729.49</v>
      </c>
      <c r="O90" s="769"/>
      <c r="P90" s="770"/>
    </row>
    <row r="91" spans="1:16" ht="15.6">
      <c r="A91" s="633" t="s">
        <v>480</v>
      </c>
      <c r="B91" s="702"/>
      <c r="C91" s="702"/>
      <c r="D91" s="702"/>
      <c r="E91" s="702"/>
      <c r="F91" s="702"/>
      <c r="G91" s="702"/>
      <c r="H91" s="702"/>
      <c r="I91" s="702"/>
      <c r="J91" s="702"/>
      <c r="K91" s="702"/>
      <c r="L91" s="702"/>
      <c r="M91" s="703"/>
      <c r="N91" s="765">
        <f>SUM(N88:P90)</f>
        <v>1793.16</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7.05</v>
      </c>
      <c r="O95" s="769"/>
      <c r="P95" s="770"/>
    </row>
    <row r="96" spans="1:16" ht="15.6">
      <c r="A96" s="7" t="s">
        <v>27</v>
      </c>
      <c r="B96" s="680" t="s">
        <v>522</v>
      </c>
      <c r="C96" s="681"/>
      <c r="D96" s="681"/>
      <c r="E96" s="681"/>
      <c r="F96" s="681"/>
      <c r="G96" s="681"/>
      <c r="H96" s="681"/>
      <c r="I96" s="681"/>
      <c r="J96" s="681"/>
      <c r="K96" s="681"/>
      <c r="L96" s="681"/>
      <c r="M96" s="682"/>
      <c r="N96" s="768">
        <f>N46*'BASE DE CÁLCULO'!C89</f>
        <v>0.5</v>
      </c>
      <c r="O96" s="769"/>
      <c r="P96" s="770"/>
    </row>
    <row r="97" spans="1:16" ht="15.6">
      <c r="A97" s="7" t="s">
        <v>30</v>
      </c>
      <c r="B97" s="680" t="s">
        <v>523</v>
      </c>
      <c r="C97" s="681"/>
      <c r="D97" s="681"/>
      <c r="E97" s="681"/>
      <c r="F97" s="681"/>
      <c r="G97" s="681"/>
      <c r="H97" s="681"/>
      <c r="I97" s="681"/>
      <c r="J97" s="681"/>
      <c r="K97" s="681"/>
      <c r="L97" s="681"/>
      <c r="M97" s="682"/>
      <c r="N97" s="768">
        <f>N46*'BASE DE CÁLCULO'!C90</f>
        <v>0.17</v>
      </c>
      <c r="O97" s="769"/>
      <c r="P97" s="770"/>
    </row>
    <row r="98" spans="1:16" ht="15.6">
      <c r="A98" s="7" t="s">
        <v>32</v>
      </c>
      <c r="B98" s="680" t="s">
        <v>524</v>
      </c>
      <c r="C98" s="681"/>
      <c r="D98" s="681"/>
      <c r="E98" s="681"/>
      <c r="F98" s="681"/>
      <c r="G98" s="681"/>
      <c r="H98" s="681"/>
      <c r="I98" s="681"/>
      <c r="J98" s="681"/>
      <c r="K98" s="681"/>
      <c r="L98" s="681"/>
      <c r="M98" s="682"/>
      <c r="N98" s="768">
        <f>N46*'BASE DE CÁLCULO'!C91</f>
        <v>32.549999999999997</v>
      </c>
      <c r="O98" s="769"/>
      <c r="P98" s="770"/>
    </row>
    <row r="99" spans="1:16" ht="15.6">
      <c r="A99" s="7" t="s">
        <v>56</v>
      </c>
      <c r="B99" s="680" t="s">
        <v>525</v>
      </c>
      <c r="C99" s="681"/>
      <c r="D99" s="681"/>
      <c r="E99" s="681"/>
      <c r="F99" s="681"/>
      <c r="G99" s="681"/>
      <c r="H99" s="681"/>
      <c r="I99" s="681"/>
      <c r="J99" s="681"/>
      <c r="K99" s="681"/>
      <c r="L99" s="681"/>
      <c r="M99" s="682"/>
      <c r="N99" s="768">
        <f>N46*'BASE DE CÁLCULO'!C92</f>
        <v>11.91</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1.01</v>
      </c>
      <c r="O100" s="684"/>
      <c r="P100" s="685"/>
    </row>
    <row r="101" spans="1:16" ht="15.6">
      <c r="A101" s="633" t="s">
        <v>480</v>
      </c>
      <c r="B101" s="634"/>
      <c r="C101" s="634"/>
      <c r="D101" s="634"/>
      <c r="E101" s="634"/>
      <c r="F101" s="634"/>
      <c r="G101" s="634"/>
      <c r="H101" s="634"/>
      <c r="I101" s="634"/>
      <c r="J101" s="634"/>
      <c r="K101" s="634"/>
      <c r="L101" s="634"/>
      <c r="M101" s="635"/>
      <c r="N101" s="765">
        <f>SUM(N95:P100)</f>
        <v>53.19</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191.26</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19.13</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31.88</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7.72</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4.03</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1.34</v>
      </c>
      <c r="O115" s="769"/>
      <c r="P115" s="770"/>
    </row>
    <row r="116" spans="1:16" ht="15.6">
      <c r="A116" s="633" t="s">
        <v>480</v>
      </c>
      <c r="B116" s="634"/>
      <c r="C116" s="634"/>
      <c r="D116" s="634"/>
      <c r="E116" s="634"/>
      <c r="F116" s="634"/>
      <c r="G116" s="634"/>
      <c r="H116" s="634"/>
      <c r="I116" s="634"/>
      <c r="J116" s="634"/>
      <c r="K116" s="634"/>
      <c r="L116" s="634"/>
      <c r="M116" s="635"/>
      <c r="N116" s="765">
        <f>SUM(N109:P115)</f>
        <v>255.86</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255.86</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255.86</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CÁLCULO'!O26</f>
        <v>306.08999999999997</v>
      </c>
      <c r="O133" s="769"/>
      <c r="P133" s="770"/>
    </row>
    <row r="134" spans="1:16" ht="16.5" customHeight="1">
      <c r="A134" s="7" t="s">
        <v>27</v>
      </c>
      <c r="B134" s="680" t="s">
        <v>547</v>
      </c>
      <c r="C134" s="681"/>
      <c r="D134" s="681"/>
      <c r="E134" s="681"/>
      <c r="F134" s="681"/>
      <c r="G134" s="681"/>
      <c r="H134" s="681"/>
      <c r="I134" s="681"/>
      <c r="J134" s="681"/>
      <c r="K134" s="681"/>
      <c r="L134" s="681"/>
      <c r="M134" s="682"/>
      <c r="N134" s="768" t="str">
        <f>'BASE DE CÁLCULO'!P26</f>
        <v>-</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306.08999999999997</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204.3</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429.03</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509.08</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275.18</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1417.59</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1677.68</v>
      </c>
      <c r="O153" s="769"/>
      <c r="P153" s="770"/>
    </row>
    <row r="154" spans="1:17" ht="15.6">
      <c r="A154" s="7" t="s">
        <v>27</v>
      </c>
      <c r="B154" s="680" t="s">
        <v>561</v>
      </c>
      <c r="C154" s="681"/>
      <c r="D154" s="681"/>
      <c r="E154" s="681"/>
      <c r="F154" s="681"/>
      <c r="G154" s="681"/>
      <c r="H154" s="681"/>
      <c r="I154" s="681"/>
      <c r="J154" s="681"/>
      <c r="K154" s="681"/>
      <c r="L154" s="681"/>
      <c r="M154" s="682"/>
      <c r="N154" s="768">
        <f>N91</f>
        <v>1793.16</v>
      </c>
      <c r="O154" s="769"/>
      <c r="P154" s="770"/>
    </row>
    <row r="155" spans="1:17" ht="15.6">
      <c r="A155" s="7" t="s">
        <v>30</v>
      </c>
      <c r="B155" s="680" t="s">
        <v>562</v>
      </c>
      <c r="C155" s="681"/>
      <c r="D155" s="681"/>
      <c r="E155" s="681"/>
      <c r="F155" s="681"/>
      <c r="G155" s="681"/>
      <c r="H155" s="681"/>
      <c r="I155" s="681"/>
      <c r="J155" s="681"/>
      <c r="K155" s="681"/>
      <c r="L155" s="681"/>
      <c r="M155" s="682"/>
      <c r="N155" s="768">
        <f>N101</f>
        <v>53.19</v>
      </c>
      <c r="O155" s="769"/>
      <c r="P155" s="770"/>
    </row>
    <row r="156" spans="1:17" ht="15.6">
      <c r="A156" s="7" t="s">
        <v>32</v>
      </c>
      <c r="B156" s="680" t="s">
        <v>563</v>
      </c>
      <c r="C156" s="681"/>
      <c r="D156" s="681"/>
      <c r="E156" s="681"/>
      <c r="F156" s="681"/>
      <c r="G156" s="681"/>
      <c r="H156" s="681"/>
      <c r="I156" s="681"/>
      <c r="J156" s="681"/>
      <c r="K156" s="681"/>
      <c r="L156" s="681"/>
      <c r="M156" s="682"/>
      <c r="N156" s="768">
        <f>N129</f>
        <v>255.86</v>
      </c>
      <c r="O156" s="769"/>
      <c r="P156" s="770"/>
    </row>
    <row r="157" spans="1:17" ht="15.6">
      <c r="A157" s="7" t="s">
        <v>56</v>
      </c>
      <c r="B157" s="680" t="s">
        <v>564</v>
      </c>
      <c r="C157" s="681"/>
      <c r="D157" s="681"/>
      <c r="E157" s="681"/>
      <c r="F157" s="681"/>
      <c r="G157" s="681"/>
      <c r="H157" s="681"/>
      <c r="I157" s="681"/>
      <c r="J157" s="681"/>
      <c r="K157" s="681"/>
      <c r="L157" s="681"/>
      <c r="M157" s="682"/>
      <c r="N157" s="768">
        <f>N136</f>
        <v>306.08999999999997</v>
      </c>
      <c r="O157" s="769"/>
      <c r="P157" s="770"/>
    </row>
    <row r="158" spans="1:17" ht="15.6">
      <c r="A158" s="633" t="s">
        <v>565</v>
      </c>
      <c r="B158" s="634"/>
      <c r="C158" s="634"/>
      <c r="D158" s="634"/>
      <c r="E158" s="634"/>
      <c r="F158" s="634"/>
      <c r="G158" s="634"/>
      <c r="H158" s="634"/>
      <c r="I158" s="634"/>
      <c r="J158" s="634"/>
      <c r="K158" s="634"/>
      <c r="L158" s="634"/>
      <c r="M158" s="635"/>
      <c r="N158" s="765">
        <f>SUM(N153:P157)</f>
        <v>4085.98</v>
      </c>
      <c r="O158" s="766"/>
      <c r="P158" s="767"/>
    </row>
    <row r="159" spans="1:17" ht="15.6">
      <c r="A159" s="7" t="s">
        <v>58</v>
      </c>
      <c r="B159" s="680" t="s">
        <v>566</v>
      </c>
      <c r="C159" s="681"/>
      <c r="D159" s="681"/>
      <c r="E159" s="681"/>
      <c r="F159" s="681"/>
      <c r="G159" s="681"/>
      <c r="H159" s="681"/>
      <c r="I159" s="681"/>
      <c r="J159" s="681"/>
      <c r="K159" s="681"/>
      <c r="L159" s="681"/>
      <c r="M159" s="682"/>
      <c r="N159" s="768">
        <f>N147</f>
        <v>1417.59</v>
      </c>
      <c r="O159" s="769"/>
      <c r="P159" s="770"/>
    </row>
    <row r="160" spans="1:17" ht="15.6">
      <c r="A160" s="633" t="s">
        <v>567</v>
      </c>
      <c r="B160" s="634"/>
      <c r="C160" s="634"/>
      <c r="D160" s="634"/>
      <c r="E160" s="634"/>
      <c r="F160" s="634"/>
      <c r="G160" s="634"/>
      <c r="H160" s="634"/>
      <c r="I160" s="634"/>
      <c r="J160" s="634"/>
      <c r="K160" s="634"/>
      <c r="L160" s="634"/>
      <c r="M160" s="635"/>
      <c r="N160" s="765">
        <f>SUM(N158:P159)</f>
        <v>5503.57</v>
      </c>
      <c r="O160" s="766"/>
      <c r="P160" s="767"/>
    </row>
    <row r="161" spans="1:16" ht="15.6">
      <c r="A161" s="633" t="s">
        <v>568</v>
      </c>
      <c r="B161" s="634"/>
      <c r="C161" s="634"/>
      <c r="D161" s="634"/>
      <c r="E161" s="634"/>
      <c r="F161" s="634"/>
      <c r="G161" s="634"/>
      <c r="H161" s="634"/>
      <c r="I161" s="634"/>
      <c r="J161" s="634"/>
      <c r="K161" s="634"/>
      <c r="L161" s="634"/>
      <c r="M161" s="635"/>
      <c r="N161" s="665">
        <f>N160*N20</f>
        <v>38524.99</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160" sqref="N160:P160"/>
    </sheetView>
  </sheetViews>
  <sheetFormatPr defaultColWidth="9.109375" defaultRowHeight="13.2"/>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CÁLCULO'!B27</f>
        <v>Vitória/ES</v>
      </c>
      <c r="O12" s="740"/>
      <c r="P12" s="741"/>
    </row>
    <row r="13" spans="1:16" ht="15.6">
      <c r="A13" s="7" t="s">
        <v>30</v>
      </c>
      <c r="B13" s="680" t="s">
        <v>455</v>
      </c>
      <c r="C13" s="681"/>
      <c r="D13" s="681"/>
      <c r="E13" s="681"/>
      <c r="F13" s="681"/>
      <c r="G13" s="681"/>
      <c r="H13" s="681"/>
      <c r="I13" s="681"/>
      <c r="J13" s="681"/>
      <c r="K13" s="681"/>
      <c r="L13" s="681"/>
      <c r="M13" s="682"/>
      <c r="N13" s="739" t="str">
        <f>'BASE DE CÁLCULO'!D27</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CÁLCULO'!C27</f>
        <v>Auxiliar de Cozinha III</v>
      </c>
      <c r="B20" s="625"/>
      <c r="C20" s="625"/>
      <c r="D20" s="626"/>
      <c r="E20" s="751" t="s">
        <v>459</v>
      </c>
      <c r="F20" s="752"/>
      <c r="G20" s="752"/>
      <c r="H20" s="752"/>
      <c r="I20" s="752"/>
      <c r="J20" s="752"/>
      <c r="K20" s="752"/>
      <c r="L20" s="752"/>
      <c r="M20" s="753"/>
      <c r="N20" s="789">
        <f>'BASE DE CÁLCULO'!F27</f>
        <v>3</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ht="12" customHeight="1">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Auxiliar de Cozinha III</v>
      </c>
      <c r="O30" s="740"/>
      <c r="P30" s="741"/>
    </row>
    <row r="31" spans="1:16" ht="15.6">
      <c r="A31" s="7">
        <v>2</v>
      </c>
      <c r="B31" s="680" t="s">
        <v>466</v>
      </c>
      <c r="C31" s="681"/>
      <c r="D31" s="681"/>
      <c r="E31" s="681"/>
      <c r="F31" s="681"/>
      <c r="G31" s="681"/>
      <c r="H31" s="681"/>
      <c r="I31" s="681"/>
      <c r="J31" s="681"/>
      <c r="K31" s="681"/>
      <c r="L31" s="681"/>
      <c r="M31" s="682"/>
      <c r="N31" s="781" t="s">
        <v>570</v>
      </c>
      <c r="O31" s="779"/>
      <c r="P31" s="780"/>
    </row>
    <row r="32" spans="1:16" ht="15.6">
      <c r="A32" s="7">
        <v>3</v>
      </c>
      <c r="B32" s="680" t="s">
        <v>468</v>
      </c>
      <c r="C32" s="681"/>
      <c r="D32" s="681"/>
      <c r="E32" s="681"/>
      <c r="F32" s="681"/>
      <c r="G32" s="681"/>
      <c r="H32" s="681"/>
      <c r="I32" s="681"/>
      <c r="J32" s="681"/>
      <c r="K32" s="681"/>
      <c r="L32" s="681"/>
      <c r="M32" s="682"/>
      <c r="N32" s="772">
        <f>'BASE DE CÁLCULO'!G27</f>
        <v>1370.04</v>
      </c>
      <c r="O32" s="773"/>
      <c r="P32" s="774"/>
    </row>
    <row r="33" spans="1:16" ht="15.6">
      <c r="A33" s="7">
        <v>4</v>
      </c>
      <c r="B33" s="680" t="s">
        <v>469</v>
      </c>
      <c r="C33" s="681"/>
      <c r="D33" s="681"/>
      <c r="E33" s="681"/>
      <c r="F33" s="681"/>
      <c r="G33" s="681"/>
      <c r="H33" s="681"/>
      <c r="I33" s="681"/>
      <c r="J33" s="681"/>
      <c r="K33" s="681"/>
      <c r="L33" s="681"/>
      <c r="M33" s="682"/>
      <c r="N33" s="782" t="str">
        <f>'BASE DE CÁLCULO'!E27</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1370.04</v>
      </c>
      <c r="O39" s="773"/>
      <c r="P39" s="774"/>
    </row>
    <row r="40" spans="1:16" ht="15.6">
      <c r="A40" s="7" t="s">
        <v>27</v>
      </c>
      <c r="B40" s="680" t="s">
        <v>474</v>
      </c>
      <c r="C40" s="681"/>
      <c r="D40" s="681"/>
      <c r="E40" s="681"/>
      <c r="F40" s="681"/>
      <c r="G40" s="681"/>
      <c r="H40" s="681"/>
      <c r="I40" s="681"/>
      <c r="J40" s="681"/>
      <c r="K40" s="681"/>
      <c r="L40" s="681"/>
      <c r="M40" s="682"/>
      <c r="N40" s="772" t="str">
        <f>'BASE DE CÁLCULO'!I27</f>
        <v>-</v>
      </c>
      <c r="O40" s="773"/>
      <c r="P40" s="774"/>
    </row>
    <row r="41" spans="1:16" ht="15.6">
      <c r="A41" s="7" t="s">
        <v>30</v>
      </c>
      <c r="B41" s="680" t="s">
        <v>475</v>
      </c>
      <c r="C41" s="681"/>
      <c r="D41" s="681"/>
      <c r="E41" s="681"/>
      <c r="F41" s="681"/>
      <c r="G41" s="681"/>
      <c r="H41" s="681"/>
      <c r="I41" s="681"/>
      <c r="J41" s="681"/>
      <c r="K41" s="681"/>
      <c r="L41" s="681"/>
      <c r="M41" s="682"/>
      <c r="N41" s="772">
        <f>'BASE DE CÁLCULO'!J27</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1612.44</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183.82</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245.09</v>
      </c>
      <c r="O53" s="773"/>
      <c r="P53" s="774"/>
    </row>
    <row r="54" spans="1:16" ht="15.6">
      <c r="A54" s="633" t="s">
        <v>480</v>
      </c>
      <c r="B54" s="634"/>
      <c r="C54" s="634"/>
      <c r="D54" s="634"/>
      <c r="E54" s="634"/>
      <c r="F54" s="634"/>
      <c r="G54" s="634"/>
      <c r="H54" s="634"/>
      <c r="I54" s="634"/>
      <c r="J54" s="634"/>
      <c r="K54" s="634"/>
      <c r="L54" s="634"/>
      <c r="M54" s="635"/>
      <c r="N54" s="775">
        <f>SUM(N52:P53)</f>
        <v>428.91</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322.49</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40.31</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48.37</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24.19</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16.12</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9.67</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3.22</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129</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593.37</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CÁLCULO'!K27</f>
        <v>135.30000000000001</v>
      </c>
      <c r="O75" s="773"/>
      <c r="P75" s="774"/>
    </row>
    <row r="76" spans="1:16" ht="16.5" customHeight="1">
      <c r="A76" s="7" t="s">
        <v>27</v>
      </c>
      <c r="B76" s="680" t="s">
        <v>331</v>
      </c>
      <c r="C76" s="681"/>
      <c r="D76" s="681"/>
      <c r="E76" s="681"/>
      <c r="F76" s="681"/>
      <c r="G76" s="681"/>
      <c r="H76" s="681"/>
      <c r="I76" s="681"/>
      <c r="J76" s="681"/>
      <c r="K76" s="681"/>
      <c r="L76" s="681"/>
      <c r="M76" s="682"/>
      <c r="N76" s="772">
        <f>'BASE DE CÁLCULO'!L27</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CÁLCULO'!N27</f>
        <v>235.52</v>
      </c>
      <c r="O77" s="773"/>
      <c r="P77" s="774"/>
    </row>
    <row r="78" spans="1:16" ht="15.6">
      <c r="A78" s="7" t="s">
        <v>32</v>
      </c>
      <c r="B78" s="680" t="s">
        <v>509</v>
      </c>
      <c r="C78" s="681"/>
      <c r="D78" s="681"/>
      <c r="E78" s="681"/>
      <c r="F78" s="681"/>
      <c r="G78" s="681"/>
      <c r="H78" s="681"/>
      <c r="I78" s="681"/>
      <c r="J78" s="681"/>
      <c r="K78" s="681"/>
      <c r="L78" s="681"/>
      <c r="M78" s="682"/>
      <c r="N78" s="772">
        <f>'BASE DE CÁLCULO'!M27</f>
        <v>0</v>
      </c>
      <c r="O78" s="773"/>
      <c r="P78" s="774"/>
    </row>
    <row r="79" spans="1:16" ht="15.6">
      <c r="A79" s="7" t="s">
        <v>56</v>
      </c>
      <c r="B79" s="680" t="s">
        <v>510</v>
      </c>
      <c r="C79" s="681"/>
      <c r="D79" s="681"/>
      <c r="E79" s="681"/>
      <c r="F79" s="681"/>
      <c r="G79" s="681"/>
      <c r="H79" s="681"/>
      <c r="I79" s="681"/>
      <c r="J79" s="681"/>
      <c r="K79" s="681"/>
      <c r="L79" s="681"/>
      <c r="M79" s="682"/>
      <c r="N79" s="772">
        <f>'BASE DE CÁLCULO'!Q27</f>
        <v>25.3</v>
      </c>
      <c r="O79" s="773"/>
      <c r="P79" s="774"/>
    </row>
    <row r="80" spans="1:16" ht="15.6">
      <c r="A80" s="7" t="s">
        <v>58</v>
      </c>
      <c r="B80" s="680" t="s">
        <v>511</v>
      </c>
      <c r="C80" s="681"/>
      <c r="D80" s="681"/>
      <c r="E80" s="681"/>
      <c r="F80" s="681"/>
      <c r="G80" s="681"/>
      <c r="H80" s="681"/>
      <c r="I80" s="681"/>
      <c r="J80" s="681"/>
      <c r="K80" s="681"/>
      <c r="L80" s="681"/>
      <c r="M80" s="682"/>
      <c r="N80" s="714">
        <f>'BASE DE CÁLCULO'!S27</f>
        <v>172.1</v>
      </c>
      <c r="O80" s="715"/>
      <c r="P80" s="716"/>
    </row>
    <row r="81" spans="1:16" ht="16.2" customHeight="1">
      <c r="A81" s="7" t="s">
        <v>60</v>
      </c>
      <c r="B81" s="680" t="s">
        <v>334</v>
      </c>
      <c r="C81" s="681"/>
      <c r="D81" s="681"/>
      <c r="E81" s="681"/>
      <c r="F81" s="681"/>
      <c r="G81" s="681"/>
      <c r="H81" s="681"/>
      <c r="I81" s="681"/>
      <c r="J81" s="681"/>
      <c r="K81" s="681"/>
      <c r="L81" s="681"/>
      <c r="M81" s="682"/>
      <c r="N81" s="772">
        <f>'BASE DE CÁLCULO'!R27</f>
        <v>6.43</v>
      </c>
      <c r="O81" s="773"/>
      <c r="P81" s="774"/>
    </row>
    <row r="82" spans="1:16" ht="15.6">
      <c r="A82" s="633" t="s">
        <v>480</v>
      </c>
      <c r="B82" s="634"/>
      <c r="C82" s="634"/>
      <c r="D82" s="634"/>
      <c r="E82" s="634"/>
      <c r="F82" s="634"/>
      <c r="G82" s="634"/>
      <c r="H82" s="634"/>
      <c r="I82" s="634"/>
      <c r="J82" s="634"/>
      <c r="K82" s="634"/>
      <c r="L82" s="634"/>
      <c r="M82" s="635"/>
      <c r="N82" s="775">
        <f>SUM(N75:P81)</f>
        <v>732.76</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428.91</v>
      </c>
      <c r="O88" s="769"/>
      <c r="P88" s="770"/>
    </row>
    <row r="89" spans="1:16" ht="15.6">
      <c r="A89" s="11" t="s">
        <v>491</v>
      </c>
      <c r="B89" s="699" t="s">
        <v>518</v>
      </c>
      <c r="C89" s="700"/>
      <c r="D89" s="700"/>
      <c r="E89" s="700"/>
      <c r="F89" s="700"/>
      <c r="G89" s="700"/>
      <c r="H89" s="700"/>
      <c r="I89" s="700"/>
      <c r="J89" s="700"/>
      <c r="K89" s="700"/>
      <c r="L89" s="700"/>
      <c r="M89" s="701"/>
      <c r="N89" s="769">
        <f>N68</f>
        <v>593.37</v>
      </c>
      <c r="O89" s="769"/>
      <c r="P89" s="770"/>
    </row>
    <row r="90" spans="1:16" ht="15.6">
      <c r="A90" s="9" t="s">
        <v>506</v>
      </c>
      <c r="B90" s="699" t="s">
        <v>519</v>
      </c>
      <c r="C90" s="700"/>
      <c r="D90" s="700"/>
      <c r="E90" s="700"/>
      <c r="F90" s="700"/>
      <c r="G90" s="700"/>
      <c r="H90" s="700"/>
      <c r="I90" s="700"/>
      <c r="J90" s="700"/>
      <c r="K90" s="700"/>
      <c r="L90" s="700"/>
      <c r="M90" s="701"/>
      <c r="N90" s="769">
        <f>N82</f>
        <v>732.76</v>
      </c>
      <c r="O90" s="769"/>
      <c r="P90" s="770"/>
    </row>
    <row r="91" spans="1:16" ht="15.6">
      <c r="A91" s="633" t="s">
        <v>480</v>
      </c>
      <c r="B91" s="702"/>
      <c r="C91" s="702"/>
      <c r="D91" s="702"/>
      <c r="E91" s="702"/>
      <c r="F91" s="702"/>
      <c r="G91" s="702"/>
      <c r="H91" s="702"/>
      <c r="I91" s="702"/>
      <c r="J91" s="702"/>
      <c r="K91" s="702"/>
      <c r="L91" s="702"/>
      <c r="M91" s="703"/>
      <c r="N91" s="765">
        <f>SUM(N88:P90)</f>
        <v>1755.04</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6.77</v>
      </c>
      <c r="O95" s="769"/>
      <c r="P95" s="770"/>
    </row>
    <row r="96" spans="1:16" ht="15.6">
      <c r="A96" s="7" t="s">
        <v>27</v>
      </c>
      <c r="B96" s="680" t="s">
        <v>522</v>
      </c>
      <c r="C96" s="681"/>
      <c r="D96" s="681"/>
      <c r="E96" s="681"/>
      <c r="F96" s="681"/>
      <c r="G96" s="681"/>
      <c r="H96" s="681"/>
      <c r="I96" s="681"/>
      <c r="J96" s="681"/>
      <c r="K96" s="681"/>
      <c r="L96" s="681"/>
      <c r="M96" s="682"/>
      <c r="N96" s="768">
        <f>N46*'BASE DE CÁLCULO'!C89</f>
        <v>0.48</v>
      </c>
      <c r="O96" s="769"/>
      <c r="P96" s="770"/>
    </row>
    <row r="97" spans="1:16" ht="15.6">
      <c r="A97" s="7" t="s">
        <v>30</v>
      </c>
      <c r="B97" s="680" t="s">
        <v>523</v>
      </c>
      <c r="C97" s="681"/>
      <c r="D97" s="681"/>
      <c r="E97" s="681"/>
      <c r="F97" s="681"/>
      <c r="G97" s="681"/>
      <c r="H97" s="681"/>
      <c r="I97" s="681"/>
      <c r="J97" s="681"/>
      <c r="K97" s="681"/>
      <c r="L97" s="681"/>
      <c r="M97" s="682"/>
      <c r="N97" s="768">
        <f>N46*'BASE DE CÁLCULO'!C90</f>
        <v>0.16</v>
      </c>
      <c r="O97" s="769"/>
      <c r="P97" s="770"/>
    </row>
    <row r="98" spans="1:16" ht="15.6">
      <c r="A98" s="7" t="s">
        <v>32</v>
      </c>
      <c r="B98" s="680" t="s">
        <v>524</v>
      </c>
      <c r="C98" s="681"/>
      <c r="D98" s="681"/>
      <c r="E98" s="681"/>
      <c r="F98" s="681"/>
      <c r="G98" s="681"/>
      <c r="H98" s="681"/>
      <c r="I98" s="681"/>
      <c r="J98" s="681"/>
      <c r="K98" s="681"/>
      <c r="L98" s="681"/>
      <c r="M98" s="682"/>
      <c r="N98" s="768">
        <f>N46*'BASE DE CÁLCULO'!C91</f>
        <v>31.28</v>
      </c>
      <c r="O98" s="769"/>
      <c r="P98" s="770"/>
    </row>
    <row r="99" spans="1:16" ht="15.6">
      <c r="A99" s="7" t="s">
        <v>56</v>
      </c>
      <c r="B99" s="680" t="s">
        <v>525</v>
      </c>
      <c r="C99" s="681"/>
      <c r="D99" s="681"/>
      <c r="E99" s="681"/>
      <c r="F99" s="681"/>
      <c r="G99" s="681"/>
      <c r="H99" s="681"/>
      <c r="I99" s="681"/>
      <c r="J99" s="681"/>
      <c r="K99" s="681"/>
      <c r="L99" s="681"/>
      <c r="M99" s="682"/>
      <c r="N99" s="768">
        <f>N46*'BASE DE CÁLCULO'!C92</f>
        <v>11.45</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0.97</v>
      </c>
      <c r="O100" s="684"/>
      <c r="P100" s="685"/>
    </row>
    <row r="101" spans="1:16" ht="15.6">
      <c r="A101" s="633" t="s">
        <v>480</v>
      </c>
      <c r="B101" s="634"/>
      <c r="C101" s="634"/>
      <c r="D101" s="634"/>
      <c r="E101" s="634"/>
      <c r="F101" s="634"/>
      <c r="G101" s="634"/>
      <c r="H101" s="634"/>
      <c r="I101" s="634"/>
      <c r="J101" s="634"/>
      <c r="K101" s="634"/>
      <c r="L101" s="634"/>
      <c r="M101" s="635"/>
      <c r="N101" s="765">
        <f>SUM(N95:P100)</f>
        <v>51.11</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s="141" customFormat="1" ht="12">
      <c r="A104" s="688" t="s">
        <v>528</v>
      </c>
      <c r="B104" s="688"/>
      <c r="C104" s="688"/>
      <c r="D104" s="688"/>
      <c r="E104" s="688"/>
      <c r="F104" s="688"/>
      <c r="G104" s="688"/>
      <c r="H104" s="688"/>
      <c r="I104" s="688"/>
      <c r="J104" s="688"/>
      <c r="K104" s="688"/>
      <c r="L104" s="688"/>
      <c r="M104" s="688"/>
      <c r="N104" s="688"/>
      <c r="O104" s="688"/>
      <c r="P104" s="688"/>
    </row>
    <row r="105" spans="1:16" s="141" customFormat="1" ht="12">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183.82</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18.38</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30.64</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0.48</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7.42</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3.87</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1.29</v>
      </c>
      <c r="O115" s="769"/>
      <c r="P115" s="770"/>
    </row>
    <row r="116" spans="1:16" ht="15.6">
      <c r="A116" s="633" t="s">
        <v>480</v>
      </c>
      <c r="B116" s="634"/>
      <c r="C116" s="634"/>
      <c r="D116" s="634"/>
      <c r="E116" s="634"/>
      <c r="F116" s="634"/>
      <c r="G116" s="634"/>
      <c r="H116" s="634"/>
      <c r="I116" s="634"/>
      <c r="J116" s="634"/>
      <c r="K116" s="634"/>
      <c r="L116" s="634"/>
      <c r="M116" s="635"/>
      <c r="N116" s="765">
        <f>SUM(N109:P115)</f>
        <v>245.9</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5.7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245.9</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245.9</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CÁLCULO'!O27</f>
        <v>137.24</v>
      </c>
      <c r="O133" s="769"/>
      <c r="P133" s="770"/>
    </row>
    <row r="134" spans="1:16" ht="16.5" customHeight="1">
      <c r="A134" s="7" t="s">
        <v>27</v>
      </c>
      <c r="B134" s="680" t="s">
        <v>547</v>
      </c>
      <c r="C134" s="681"/>
      <c r="D134" s="681"/>
      <c r="E134" s="681"/>
      <c r="F134" s="681"/>
      <c r="G134" s="681"/>
      <c r="H134" s="681"/>
      <c r="I134" s="681"/>
      <c r="J134" s="681"/>
      <c r="K134" s="681"/>
      <c r="L134" s="681"/>
      <c r="M134" s="682"/>
      <c r="N134" s="768" t="str">
        <f>'BASE DE CÁLCULO'!P27</f>
        <v>-</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137.24</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190.09</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399.18</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473.66</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256.02999999999997</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1318.96</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1612.44</v>
      </c>
      <c r="O153" s="769"/>
      <c r="P153" s="770"/>
    </row>
    <row r="154" spans="1:17" ht="15.6">
      <c r="A154" s="7" t="s">
        <v>27</v>
      </c>
      <c r="B154" s="680" t="s">
        <v>561</v>
      </c>
      <c r="C154" s="681"/>
      <c r="D154" s="681"/>
      <c r="E154" s="681"/>
      <c r="F154" s="681"/>
      <c r="G154" s="681"/>
      <c r="H154" s="681"/>
      <c r="I154" s="681"/>
      <c r="J154" s="681"/>
      <c r="K154" s="681"/>
      <c r="L154" s="681"/>
      <c r="M154" s="682"/>
      <c r="N154" s="768">
        <f>N91</f>
        <v>1755.04</v>
      </c>
      <c r="O154" s="769"/>
      <c r="P154" s="770"/>
    </row>
    <row r="155" spans="1:17" ht="15.6">
      <c r="A155" s="7" t="s">
        <v>30</v>
      </c>
      <c r="B155" s="680" t="s">
        <v>562</v>
      </c>
      <c r="C155" s="681"/>
      <c r="D155" s="681"/>
      <c r="E155" s="681"/>
      <c r="F155" s="681"/>
      <c r="G155" s="681"/>
      <c r="H155" s="681"/>
      <c r="I155" s="681"/>
      <c r="J155" s="681"/>
      <c r="K155" s="681"/>
      <c r="L155" s="681"/>
      <c r="M155" s="682"/>
      <c r="N155" s="768">
        <f>N101</f>
        <v>51.11</v>
      </c>
      <c r="O155" s="769"/>
      <c r="P155" s="770"/>
    </row>
    <row r="156" spans="1:17" ht="15.6">
      <c r="A156" s="7" t="s">
        <v>32</v>
      </c>
      <c r="B156" s="680" t="s">
        <v>563</v>
      </c>
      <c r="C156" s="681"/>
      <c r="D156" s="681"/>
      <c r="E156" s="681"/>
      <c r="F156" s="681"/>
      <c r="G156" s="681"/>
      <c r="H156" s="681"/>
      <c r="I156" s="681"/>
      <c r="J156" s="681"/>
      <c r="K156" s="681"/>
      <c r="L156" s="681"/>
      <c r="M156" s="682"/>
      <c r="N156" s="768">
        <f>N129</f>
        <v>245.9</v>
      </c>
      <c r="O156" s="769"/>
      <c r="P156" s="770"/>
    </row>
    <row r="157" spans="1:17" ht="15.6">
      <c r="A157" s="7" t="s">
        <v>56</v>
      </c>
      <c r="B157" s="680" t="s">
        <v>564</v>
      </c>
      <c r="C157" s="681"/>
      <c r="D157" s="681"/>
      <c r="E157" s="681"/>
      <c r="F157" s="681"/>
      <c r="G157" s="681"/>
      <c r="H157" s="681"/>
      <c r="I157" s="681"/>
      <c r="J157" s="681"/>
      <c r="K157" s="681"/>
      <c r="L157" s="681"/>
      <c r="M157" s="682"/>
      <c r="N157" s="768">
        <f>N136</f>
        <v>137.24</v>
      </c>
      <c r="O157" s="769"/>
      <c r="P157" s="770"/>
    </row>
    <row r="158" spans="1:17" ht="15.6">
      <c r="A158" s="633" t="s">
        <v>565</v>
      </c>
      <c r="B158" s="634"/>
      <c r="C158" s="634"/>
      <c r="D158" s="634"/>
      <c r="E158" s="634"/>
      <c r="F158" s="634"/>
      <c r="G158" s="634"/>
      <c r="H158" s="634"/>
      <c r="I158" s="634"/>
      <c r="J158" s="634"/>
      <c r="K158" s="634"/>
      <c r="L158" s="634"/>
      <c r="M158" s="635"/>
      <c r="N158" s="765">
        <f>SUM(N153:P157)</f>
        <v>3801.73</v>
      </c>
      <c r="O158" s="766"/>
      <c r="P158" s="767"/>
    </row>
    <row r="159" spans="1:17" ht="15.6">
      <c r="A159" s="7" t="s">
        <v>58</v>
      </c>
      <c r="B159" s="680" t="s">
        <v>566</v>
      </c>
      <c r="C159" s="681"/>
      <c r="D159" s="681"/>
      <c r="E159" s="681"/>
      <c r="F159" s="681"/>
      <c r="G159" s="681"/>
      <c r="H159" s="681"/>
      <c r="I159" s="681"/>
      <c r="J159" s="681"/>
      <c r="K159" s="681"/>
      <c r="L159" s="681"/>
      <c r="M159" s="682"/>
      <c r="N159" s="768">
        <f>N147</f>
        <v>1318.96</v>
      </c>
      <c r="O159" s="769"/>
      <c r="P159" s="770"/>
    </row>
    <row r="160" spans="1:17" ht="15.6">
      <c r="A160" s="633" t="s">
        <v>567</v>
      </c>
      <c r="B160" s="634"/>
      <c r="C160" s="634"/>
      <c r="D160" s="634"/>
      <c r="E160" s="634"/>
      <c r="F160" s="634"/>
      <c r="G160" s="634"/>
      <c r="H160" s="634"/>
      <c r="I160" s="634"/>
      <c r="J160" s="634"/>
      <c r="K160" s="634"/>
      <c r="L160" s="634"/>
      <c r="M160" s="635"/>
      <c r="N160" s="765">
        <f>SUM(N158:P159)</f>
        <v>5120.6899999999996</v>
      </c>
      <c r="O160" s="766"/>
      <c r="P160" s="767"/>
    </row>
    <row r="161" spans="1:16" ht="15.6">
      <c r="A161" s="633" t="s">
        <v>568</v>
      </c>
      <c r="B161" s="634"/>
      <c r="C161" s="634"/>
      <c r="D161" s="634"/>
      <c r="E161" s="634"/>
      <c r="F161" s="634"/>
      <c r="G161" s="634"/>
      <c r="H161" s="634"/>
      <c r="I161" s="634"/>
      <c r="J161" s="634"/>
      <c r="K161" s="634"/>
      <c r="L161" s="634"/>
      <c r="M161" s="635"/>
      <c r="N161" s="665">
        <f>N160*N20</f>
        <v>15362.07</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R160" sqref="R160"/>
    </sheetView>
  </sheetViews>
  <sheetFormatPr defaultColWidth="9.109375" defaultRowHeight="13.2"/>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CÁLCULO'!B28</f>
        <v>Vitória/ES</v>
      </c>
      <c r="O12" s="740"/>
      <c r="P12" s="741"/>
    </row>
    <row r="13" spans="1:16" ht="15.6">
      <c r="A13" s="7" t="s">
        <v>30</v>
      </c>
      <c r="B13" s="680" t="s">
        <v>455</v>
      </c>
      <c r="C13" s="681"/>
      <c r="D13" s="681"/>
      <c r="E13" s="681"/>
      <c r="F13" s="681"/>
      <c r="G13" s="681"/>
      <c r="H13" s="681"/>
      <c r="I13" s="681"/>
      <c r="J13" s="681"/>
      <c r="K13" s="681"/>
      <c r="L13" s="681"/>
      <c r="M13" s="682"/>
      <c r="N13" s="739" t="str">
        <f>'BASE DE CÁLCULO'!D28</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CÁLCULO'!C28</f>
        <v>Cozinheiro</v>
      </c>
      <c r="B20" s="625"/>
      <c r="C20" s="625"/>
      <c r="D20" s="626"/>
      <c r="E20" s="751" t="s">
        <v>459</v>
      </c>
      <c r="F20" s="752"/>
      <c r="G20" s="752"/>
      <c r="H20" s="752"/>
      <c r="I20" s="752"/>
      <c r="J20" s="752"/>
      <c r="K20" s="752"/>
      <c r="L20" s="752"/>
      <c r="M20" s="753"/>
      <c r="N20" s="789">
        <f>'BASE DE CÁLCULO'!F28</f>
        <v>4</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Cozinheiro</v>
      </c>
      <c r="O30" s="740"/>
      <c r="P30" s="741"/>
    </row>
    <row r="31" spans="1:16" ht="15.6">
      <c r="A31" s="7">
        <v>2</v>
      </c>
      <c r="B31" s="680" t="s">
        <v>466</v>
      </c>
      <c r="C31" s="681"/>
      <c r="D31" s="681"/>
      <c r="E31" s="681"/>
      <c r="F31" s="681"/>
      <c r="G31" s="681"/>
      <c r="H31" s="681"/>
      <c r="I31" s="681"/>
      <c r="J31" s="681"/>
      <c r="K31" s="681"/>
      <c r="L31" s="681"/>
      <c r="M31" s="682"/>
      <c r="N31" s="781" t="s">
        <v>571</v>
      </c>
      <c r="O31" s="779"/>
      <c r="P31" s="780"/>
    </row>
    <row r="32" spans="1:16" ht="15.6">
      <c r="A32" s="7">
        <v>3</v>
      </c>
      <c r="B32" s="680" t="s">
        <v>468</v>
      </c>
      <c r="C32" s="681"/>
      <c r="D32" s="681"/>
      <c r="E32" s="681"/>
      <c r="F32" s="681"/>
      <c r="G32" s="681"/>
      <c r="H32" s="681"/>
      <c r="I32" s="681"/>
      <c r="J32" s="681"/>
      <c r="K32" s="681"/>
      <c r="L32" s="681"/>
      <c r="M32" s="682"/>
      <c r="N32" s="772">
        <f>'BASE DE CÁLCULO'!G28</f>
        <v>1882.4</v>
      </c>
      <c r="O32" s="773"/>
      <c r="P32" s="774"/>
    </row>
    <row r="33" spans="1:16" ht="15.6">
      <c r="A33" s="7">
        <v>4</v>
      </c>
      <c r="B33" s="680" t="s">
        <v>469</v>
      </c>
      <c r="C33" s="681"/>
      <c r="D33" s="681"/>
      <c r="E33" s="681"/>
      <c r="F33" s="681"/>
      <c r="G33" s="681"/>
      <c r="H33" s="681"/>
      <c r="I33" s="681"/>
      <c r="J33" s="681"/>
      <c r="K33" s="681"/>
      <c r="L33" s="681"/>
      <c r="M33" s="682"/>
      <c r="N33" s="782" t="str">
        <f>'BASE DE CÁLCULO'!E28</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1882.4</v>
      </c>
      <c r="O39" s="773"/>
      <c r="P39" s="774"/>
    </row>
    <row r="40" spans="1:16" ht="15.6">
      <c r="A40" s="7" t="s">
        <v>27</v>
      </c>
      <c r="B40" s="680" t="s">
        <v>474</v>
      </c>
      <c r="C40" s="681"/>
      <c r="D40" s="681"/>
      <c r="E40" s="681"/>
      <c r="F40" s="681"/>
      <c r="G40" s="681"/>
      <c r="H40" s="681"/>
      <c r="I40" s="681"/>
      <c r="J40" s="681"/>
      <c r="K40" s="681"/>
      <c r="L40" s="681"/>
      <c r="M40" s="682"/>
      <c r="N40" s="772" t="str">
        <f>'BASE DE CÁLCULO'!I28</f>
        <v>-</v>
      </c>
      <c r="O40" s="773"/>
      <c r="P40" s="774"/>
    </row>
    <row r="41" spans="1:16" ht="15.6">
      <c r="A41" s="7" t="s">
        <v>30</v>
      </c>
      <c r="B41" s="680" t="s">
        <v>475</v>
      </c>
      <c r="C41" s="681"/>
      <c r="D41" s="681"/>
      <c r="E41" s="681"/>
      <c r="F41" s="681"/>
      <c r="G41" s="681"/>
      <c r="H41" s="681"/>
      <c r="I41" s="681"/>
      <c r="J41" s="681"/>
      <c r="K41" s="681"/>
      <c r="L41" s="681"/>
      <c r="M41" s="682"/>
      <c r="N41" s="772">
        <f>'BASE DE CÁLCULO'!J28</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2124.8000000000002</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242.23</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322.97000000000003</v>
      </c>
      <c r="O53" s="773"/>
      <c r="P53" s="774"/>
    </row>
    <row r="54" spans="1:16" ht="15.6">
      <c r="A54" s="633" t="s">
        <v>480</v>
      </c>
      <c r="B54" s="634"/>
      <c r="C54" s="634"/>
      <c r="D54" s="634"/>
      <c r="E54" s="634"/>
      <c r="F54" s="634"/>
      <c r="G54" s="634"/>
      <c r="H54" s="634"/>
      <c r="I54" s="634"/>
      <c r="J54" s="634"/>
      <c r="K54" s="634"/>
      <c r="L54" s="634"/>
      <c r="M54" s="635"/>
      <c r="N54" s="775">
        <f>SUM(N52:P53)</f>
        <v>565.20000000000005</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424.96</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53.12</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63.74</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31.87</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21.25</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12.75</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4.25</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169.98</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781.92</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CÁLCULO'!K28</f>
        <v>119.93</v>
      </c>
      <c r="O75" s="773"/>
      <c r="P75" s="774"/>
    </row>
    <row r="76" spans="1:16" ht="16.5" customHeight="1">
      <c r="A76" s="7" t="s">
        <v>27</v>
      </c>
      <c r="B76" s="680" t="s">
        <v>331</v>
      </c>
      <c r="C76" s="681"/>
      <c r="D76" s="681"/>
      <c r="E76" s="681"/>
      <c r="F76" s="681"/>
      <c r="G76" s="681"/>
      <c r="H76" s="681"/>
      <c r="I76" s="681"/>
      <c r="J76" s="681"/>
      <c r="K76" s="681"/>
      <c r="L76" s="681"/>
      <c r="M76" s="682"/>
      <c r="N76" s="772">
        <f>'BASE DE CÁLCULO'!L28</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CÁLCULO'!N28</f>
        <v>235.52</v>
      </c>
      <c r="O77" s="773"/>
      <c r="P77" s="774"/>
    </row>
    <row r="78" spans="1:16" ht="15.6">
      <c r="A78" s="7" t="s">
        <v>32</v>
      </c>
      <c r="B78" s="680" t="s">
        <v>509</v>
      </c>
      <c r="C78" s="681"/>
      <c r="D78" s="681"/>
      <c r="E78" s="681"/>
      <c r="F78" s="681"/>
      <c r="G78" s="681"/>
      <c r="H78" s="681"/>
      <c r="I78" s="681"/>
      <c r="J78" s="681"/>
      <c r="K78" s="681"/>
      <c r="L78" s="681"/>
      <c r="M78" s="682"/>
      <c r="N78" s="772">
        <f>'BASE DE CÁLCULO'!M28</f>
        <v>0</v>
      </c>
      <c r="O78" s="773"/>
      <c r="P78" s="774"/>
    </row>
    <row r="79" spans="1:16" ht="15.6">
      <c r="A79" s="7" t="s">
        <v>56</v>
      </c>
      <c r="B79" s="680" t="s">
        <v>510</v>
      </c>
      <c r="C79" s="681"/>
      <c r="D79" s="681"/>
      <c r="E79" s="681"/>
      <c r="F79" s="681"/>
      <c r="G79" s="681"/>
      <c r="H79" s="681"/>
      <c r="I79" s="681"/>
      <c r="J79" s="681"/>
      <c r="K79" s="681"/>
      <c r="L79" s="681"/>
      <c r="M79" s="682"/>
      <c r="N79" s="772">
        <f>'BASE DE CÁLCULO'!Q28</f>
        <v>25.3</v>
      </c>
      <c r="O79" s="773"/>
      <c r="P79" s="774"/>
    </row>
    <row r="80" spans="1:16" ht="15.6">
      <c r="A80" s="7" t="s">
        <v>58</v>
      </c>
      <c r="B80" s="680" t="s">
        <v>511</v>
      </c>
      <c r="C80" s="681"/>
      <c r="D80" s="681"/>
      <c r="E80" s="681"/>
      <c r="F80" s="681"/>
      <c r="G80" s="681"/>
      <c r="H80" s="681"/>
      <c r="I80" s="681"/>
      <c r="J80" s="681"/>
      <c r="K80" s="681"/>
      <c r="L80" s="681"/>
      <c r="M80" s="682"/>
      <c r="N80" s="714">
        <f>'BASE DE CÁLCULO'!S28</f>
        <v>161.85</v>
      </c>
      <c r="O80" s="715"/>
      <c r="P80" s="716"/>
    </row>
    <row r="81" spans="1:16" ht="16.2" customHeight="1">
      <c r="A81" s="7" t="s">
        <v>60</v>
      </c>
      <c r="B81" s="680" t="s">
        <v>334</v>
      </c>
      <c r="C81" s="681"/>
      <c r="D81" s="681"/>
      <c r="E81" s="681"/>
      <c r="F81" s="681"/>
      <c r="G81" s="681"/>
      <c r="H81" s="681"/>
      <c r="I81" s="681"/>
      <c r="J81" s="681"/>
      <c r="K81" s="681"/>
      <c r="L81" s="681"/>
      <c r="M81" s="682"/>
      <c r="N81" s="772">
        <f>'BASE DE CÁLCULO'!R28</f>
        <v>6.43</v>
      </c>
      <c r="O81" s="773"/>
      <c r="P81" s="774"/>
    </row>
    <row r="82" spans="1:16" ht="15.6">
      <c r="A82" s="633" t="s">
        <v>480</v>
      </c>
      <c r="B82" s="634"/>
      <c r="C82" s="634"/>
      <c r="D82" s="634"/>
      <c r="E82" s="634"/>
      <c r="F82" s="634"/>
      <c r="G82" s="634"/>
      <c r="H82" s="634"/>
      <c r="I82" s="634"/>
      <c r="J82" s="634"/>
      <c r="K82" s="634"/>
      <c r="L82" s="634"/>
      <c r="M82" s="635"/>
      <c r="N82" s="775">
        <f>SUM(N75:P81)</f>
        <v>707.14</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565.20000000000005</v>
      </c>
      <c r="O88" s="769"/>
      <c r="P88" s="770"/>
    </row>
    <row r="89" spans="1:16" ht="15.6">
      <c r="A89" s="11" t="s">
        <v>491</v>
      </c>
      <c r="B89" s="699" t="s">
        <v>518</v>
      </c>
      <c r="C89" s="700"/>
      <c r="D89" s="700"/>
      <c r="E89" s="700"/>
      <c r="F89" s="700"/>
      <c r="G89" s="700"/>
      <c r="H89" s="700"/>
      <c r="I89" s="700"/>
      <c r="J89" s="700"/>
      <c r="K89" s="700"/>
      <c r="L89" s="700"/>
      <c r="M89" s="701"/>
      <c r="N89" s="769">
        <f>N68</f>
        <v>781.92</v>
      </c>
      <c r="O89" s="769"/>
      <c r="P89" s="770"/>
    </row>
    <row r="90" spans="1:16" ht="15.6">
      <c r="A90" s="9" t="s">
        <v>506</v>
      </c>
      <c r="B90" s="699" t="s">
        <v>519</v>
      </c>
      <c r="C90" s="700"/>
      <c r="D90" s="700"/>
      <c r="E90" s="700"/>
      <c r="F90" s="700"/>
      <c r="G90" s="700"/>
      <c r="H90" s="700"/>
      <c r="I90" s="700"/>
      <c r="J90" s="700"/>
      <c r="K90" s="700"/>
      <c r="L90" s="700"/>
      <c r="M90" s="701"/>
      <c r="N90" s="769">
        <f>N82</f>
        <v>707.14</v>
      </c>
      <c r="O90" s="769"/>
      <c r="P90" s="770"/>
    </row>
    <row r="91" spans="1:16" ht="15.6">
      <c r="A91" s="633" t="s">
        <v>480</v>
      </c>
      <c r="B91" s="702"/>
      <c r="C91" s="702"/>
      <c r="D91" s="702"/>
      <c r="E91" s="702"/>
      <c r="F91" s="702"/>
      <c r="G91" s="702"/>
      <c r="H91" s="702"/>
      <c r="I91" s="702"/>
      <c r="J91" s="702"/>
      <c r="K91" s="702"/>
      <c r="L91" s="702"/>
      <c r="M91" s="703"/>
      <c r="N91" s="765">
        <f>SUM(N88:P90)</f>
        <v>2054.2600000000002</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8.92</v>
      </c>
      <c r="O95" s="769"/>
      <c r="P95" s="770"/>
    </row>
    <row r="96" spans="1:16" ht="15.6">
      <c r="A96" s="7" t="s">
        <v>27</v>
      </c>
      <c r="B96" s="680" t="s">
        <v>522</v>
      </c>
      <c r="C96" s="681"/>
      <c r="D96" s="681"/>
      <c r="E96" s="681"/>
      <c r="F96" s="681"/>
      <c r="G96" s="681"/>
      <c r="H96" s="681"/>
      <c r="I96" s="681"/>
      <c r="J96" s="681"/>
      <c r="K96" s="681"/>
      <c r="L96" s="681"/>
      <c r="M96" s="682"/>
      <c r="N96" s="768">
        <f>N46*'BASE DE CÁLCULO'!C89</f>
        <v>0.64</v>
      </c>
      <c r="O96" s="769"/>
      <c r="P96" s="770"/>
    </row>
    <row r="97" spans="1:16" ht="15.6">
      <c r="A97" s="7" t="s">
        <v>30</v>
      </c>
      <c r="B97" s="680" t="s">
        <v>523</v>
      </c>
      <c r="C97" s="681"/>
      <c r="D97" s="681"/>
      <c r="E97" s="681"/>
      <c r="F97" s="681"/>
      <c r="G97" s="681"/>
      <c r="H97" s="681"/>
      <c r="I97" s="681"/>
      <c r="J97" s="681"/>
      <c r="K97" s="681"/>
      <c r="L97" s="681"/>
      <c r="M97" s="682"/>
      <c r="N97" s="768">
        <f>N46*'BASE DE CÁLCULO'!C90</f>
        <v>0.21</v>
      </c>
      <c r="O97" s="769"/>
      <c r="P97" s="770"/>
    </row>
    <row r="98" spans="1:16" ht="15.6">
      <c r="A98" s="7" t="s">
        <v>32</v>
      </c>
      <c r="B98" s="680" t="s">
        <v>524</v>
      </c>
      <c r="C98" s="681"/>
      <c r="D98" s="681"/>
      <c r="E98" s="681"/>
      <c r="F98" s="681"/>
      <c r="G98" s="681"/>
      <c r="H98" s="681"/>
      <c r="I98" s="681"/>
      <c r="J98" s="681"/>
      <c r="K98" s="681"/>
      <c r="L98" s="681"/>
      <c r="M98" s="682"/>
      <c r="N98" s="768">
        <f>N46*'BASE DE CÁLCULO'!C91</f>
        <v>41.22</v>
      </c>
      <c r="O98" s="769"/>
      <c r="P98" s="770"/>
    </row>
    <row r="99" spans="1:16" ht="15.6">
      <c r="A99" s="7" t="s">
        <v>56</v>
      </c>
      <c r="B99" s="680" t="s">
        <v>525</v>
      </c>
      <c r="C99" s="681"/>
      <c r="D99" s="681"/>
      <c r="E99" s="681"/>
      <c r="F99" s="681"/>
      <c r="G99" s="681"/>
      <c r="H99" s="681"/>
      <c r="I99" s="681"/>
      <c r="J99" s="681"/>
      <c r="K99" s="681"/>
      <c r="L99" s="681"/>
      <c r="M99" s="682"/>
      <c r="N99" s="768">
        <f>N46*'BASE DE CÁLCULO'!C92</f>
        <v>15.09</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1.27</v>
      </c>
      <c r="O100" s="684"/>
      <c r="P100" s="685"/>
    </row>
    <row r="101" spans="1:16" ht="15.6">
      <c r="A101" s="633" t="s">
        <v>480</v>
      </c>
      <c r="B101" s="634"/>
      <c r="C101" s="634"/>
      <c r="D101" s="634"/>
      <c r="E101" s="634"/>
      <c r="F101" s="634"/>
      <c r="G101" s="634"/>
      <c r="H101" s="634"/>
      <c r="I101" s="634"/>
      <c r="J101" s="634"/>
      <c r="K101" s="634"/>
      <c r="L101" s="634"/>
      <c r="M101" s="635"/>
      <c r="N101" s="765">
        <f>SUM(N95:P100)</f>
        <v>67.349999999999994</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s="141" customFormat="1" ht="12">
      <c r="A104" s="688" t="s">
        <v>528</v>
      </c>
      <c r="B104" s="688"/>
      <c r="C104" s="688"/>
      <c r="D104" s="688"/>
      <c r="E104" s="688"/>
      <c r="F104" s="688"/>
      <c r="G104" s="688"/>
      <c r="H104" s="688"/>
      <c r="I104" s="688"/>
      <c r="J104" s="688"/>
      <c r="K104" s="688"/>
      <c r="L104" s="688"/>
      <c r="M104" s="688"/>
      <c r="N104" s="688"/>
      <c r="O104" s="688"/>
      <c r="P104" s="688"/>
    </row>
    <row r="105" spans="1:16" s="141" customFormat="1" ht="12">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242.23</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24.22</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40.369999999999997</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0.64</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9.77</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5.0999999999999996</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1.7</v>
      </c>
      <c r="O115" s="769"/>
      <c r="P115" s="770"/>
    </row>
    <row r="116" spans="1:16" ht="15.6">
      <c r="A116" s="633" t="s">
        <v>480</v>
      </c>
      <c r="B116" s="634"/>
      <c r="C116" s="634"/>
      <c r="D116" s="634"/>
      <c r="E116" s="634"/>
      <c r="F116" s="634"/>
      <c r="G116" s="634"/>
      <c r="H116" s="634"/>
      <c r="I116" s="634"/>
      <c r="J116" s="634"/>
      <c r="K116" s="634"/>
      <c r="L116" s="634"/>
      <c r="M116" s="635"/>
      <c r="N116" s="765">
        <f>SUM(N109:P115)</f>
        <v>324.02999999999997</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9.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324.02999999999997</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324.02999999999997</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CÁLCULO'!O28</f>
        <v>250.21</v>
      </c>
      <c r="O133" s="769"/>
      <c r="P133" s="770"/>
    </row>
    <row r="134" spans="1:16" ht="16.5" customHeight="1">
      <c r="A134" s="7" t="s">
        <v>27</v>
      </c>
      <c r="B134" s="680" t="s">
        <v>547</v>
      </c>
      <c r="C134" s="681"/>
      <c r="D134" s="681"/>
      <c r="E134" s="681"/>
      <c r="F134" s="681"/>
      <c r="G134" s="681"/>
      <c r="H134" s="681"/>
      <c r="I134" s="681"/>
      <c r="J134" s="681"/>
      <c r="K134" s="681"/>
      <c r="L134" s="681"/>
      <c r="M134" s="682"/>
      <c r="N134" s="768" t="str">
        <f>'BASE DE CÁLCULO'!P28</f>
        <v>-</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250.21</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241.03</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506.17</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600.61</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324.66000000000003</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1672.47</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2124.8000000000002</v>
      </c>
      <c r="O153" s="769"/>
      <c r="P153" s="770"/>
    </row>
    <row r="154" spans="1:17" ht="15.6">
      <c r="A154" s="7" t="s">
        <v>27</v>
      </c>
      <c r="B154" s="680" t="s">
        <v>561</v>
      </c>
      <c r="C154" s="681"/>
      <c r="D154" s="681"/>
      <c r="E154" s="681"/>
      <c r="F154" s="681"/>
      <c r="G154" s="681"/>
      <c r="H154" s="681"/>
      <c r="I154" s="681"/>
      <c r="J154" s="681"/>
      <c r="K154" s="681"/>
      <c r="L154" s="681"/>
      <c r="M154" s="682"/>
      <c r="N154" s="768">
        <f>N91</f>
        <v>2054.2600000000002</v>
      </c>
      <c r="O154" s="769"/>
      <c r="P154" s="770"/>
    </row>
    <row r="155" spans="1:17" ht="15.6">
      <c r="A155" s="7" t="s">
        <v>30</v>
      </c>
      <c r="B155" s="680" t="s">
        <v>562</v>
      </c>
      <c r="C155" s="681"/>
      <c r="D155" s="681"/>
      <c r="E155" s="681"/>
      <c r="F155" s="681"/>
      <c r="G155" s="681"/>
      <c r="H155" s="681"/>
      <c r="I155" s="681"/>
      <c r="J155" s="681"/>
      <c r="K155" s="681"/>
      <c r="L155" s="681"/>
      <c r="M155" s="682"/>
      <c r="N155" s="768">
        <f>N101</f>
        <v>67.349999999999994</v>
      </c>
      <c r="O155" s="769"/>
      <c r="P155" s="770"/>
    </row>
    <row r="156" spans="1:17" ht="15.6">
      <c r="A156" s="7" t="s">
        <v>32</v>
      </c>
      <c r="B156" s="680" t="s">
        <v>563</v>
      </c>
      <c r="C156" s="681"/>
      <c r="D156" s="681"/>
      <c r="E156" s="681"/>
      <c r="F156" s="681"/>
      <c r="G156" s="681"/>
      <c r="H156" s="681"/>
      <c r="I156" s="681"/>
      <c r="J156" s="681"/>
      <c r="K156" s="681"/>
      <c r="L156" s="681"/>
      <c r="M156" s="682"/>
      <c r="N156" s="768">
        <f>N129</f>
        <v>324.02999999999997</v>
      </c>
      <c r="O156" s="769"/>
      <c r="P156" s="770"/>
    </row>
    <row r="157" spans="1:17" ht="15.6">
      <c r="A157" s="7" t="s">
        <v>56</v>
      </c>
      <c r="B157" s="680" t="s">
        <v>564</v>
      </c>
      <c r="C157" s="681"/>
      <c r="D157" s="681"/>
      <c r="E157" s="681"/>
      <c r="F157" s="681"/>
      <c r="G157" s="681"/>
      <c r="H157" s="681"/>
      <c r="I157" s="681"/>
      <c r="J157" s="681"/>
      <c r="K157" s="681"/>
      <c r="L157" s="681"/>
      <c r="M157" s="682"/>
      <c r="N157" s="768">
        <f>N136</f>
        <v>250.21</v>
      </c>
      <c r="O157" s="769"/>
      <c r="P157" s="770"/>
    </row>
    <row r="158" spans="1:17" ht="15.6">
      <c r="A158" s="633" t="s">
        <v>565</v>
      </c>
      <c r="B158" s="634"/>
      <c r="C158" s="634"/>
      <c r="D158" s="634"/>
      <c r="E158" s="634"/>
      <c r="F158" s="634"/>
      <c r="G158" s="634"/>
      <c r="H158" s="634"/>
      <c r="I158" s="634"/>
      <c r="J158" s="634"/>
      <c r="K158" s="634"/>
      <c r="L158" s="634"/>
      <c r="M158" s="635"/>
      <c r="N158" s="765">
        <f>SUM(N153:P157)</f>
        <v>4820.6499999999996</v>
      </c>
      <c r="O158" s="766"/>
      <c r="P158" s="767"/>
    </row>
    <row r="159" spans="1:17" ht="15.6">
      <c r="A159" s="7" t="s">
        <v>58</v>
      </c>
      <c r="B159" s="680" t="s">
        <v>566</v>
      </c>
      <c r="C159" s="681"/>
      <c r="D159" s="681"/>
      <c r="E159" s="681"/>
      <c r="F159" s="681"/>
      <c r="G159" s="681"/>
      <c r="H159" s="681"/>
      <c r="I159" s="681"/>
      <c r="J159" s="681"/>
      <c r="K159" s="681"/>
      <c r="L159" s="681"/>
      <c r="M159" s="682"/>
      <c r="N159" s="768">
        <f>N147</f>
        <v>1672.47</v>
      </c>
      <c r="O159" s="769"/>
      <c r="P159" s="770"/>
    </row>
    <row r="160" spans="1:17" ht="15.6">
      <c r="A160" s="633" t="s">
        <v>567</v>
      </c>
      <c r="B160" s="634"/>
      <c r="C160" s="634"/>
      <c r="D160" s="634"/>
      <c r="E160" s="634"/>
      <c r="F160" s="634"/>
      <c r="G160" s="634"/>
      <c r="H160" s="634"/>
      <c r="I160" s="634"/>
      <c r="J160" s="634"/>
      <c r="K160" s="634"/>
      <c r="L160" s="634"/>
      <c r="M160" s="635"/>
      <c r="N160" s="765">
        <f>SUM(N158:P159)</f>
        <v>6493.12</v>
      </c>
      <c r="O160" s="766"/>
      <c r="P160" s="767"/>
    </row>
    <row r="161" spans="1:16" ht="15.6">
      <c r="A161" s="633" t="s">
        <v>568</v>
      </c>
      <c r="B161" s="634"/>
      <c r="C161" s="634"/>
      <c r="D161" s="634"/>
      <c r="E161" s="634"/>
      <c r="F161" s="634"/>
      <c r="G161" s="634"/>
      <c r="H161" s="634"/>
      <c r="I161" s="634"/>
      <c r="J161" s="634"/>
      <c r="K161" s="634"/>
      <c r="L161" s="634"/>
      <c r="M161" s="635"/>
      <c r="N161" s="665">
        <f>N160*N20</f>
        <v>25972.48</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160" sqref="N160:P160"/>
    </sheetView>
  </sheetViews>
  <sheetFormatPr defaultColWidth="9.109375" defaultRowHeight="13.2"/>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CÁLCULO'!B29</f>
        <v>Vitória/ES</v>
      </c>
      <c r="O12" s="740"/>
      <c r="P12" s="741"/>
    </row>
    <row r="13" spans="1:16" ht="15.6">
      <c r="A13" s="7" t="s">
        <v>30</v>
      </c>
      <c r="B13" s="680" t="s">
        <v>455</v>
      </c>
      <c r="C13" s="681"/>
      <c r="D13" s="681"/>
      <c r="E13" s="681"/>
      <c r="F13" s="681"/>
      <c r="G13" s="681"/>
      <c r="H13" s="681"/>
      <c r="I13" s="681"/>
      <c r="J13" s="681"/>
      <c r="K13" s="681"/>
      <c r="L13" s="681"/>
      <c r="M13" s="682"/>
      <c r="N13" s="739" t="str">
        <f>'BASE DE CÁLCULO'!D29</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CÁLCULO'!C29</f>
        <v>ASG I</v>
      </c>
      <c r="B20" s="625"/>
      <c r="C20" s="625"/>
      <c r="D20" s="626"/>
      <c r="E20" s="795" t="s">
        <v>459</v>
      </c>
      <c r="F20" s="796"/>
      <c r="G20" s="796"/>
      <c r="H20" s="796"/>
      <c r="I20" s="796"/>
      <c r="J20" s="796"/>
      <c r="K20" s="796"/>
      <c r="L20" s="796"/>
      <c r="M20" s="797"/>
      <c r="N20" s="789">
        <f>'BASE DE CÁLCULO'!F29</f>
        <v>5</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ASG I</v>
      </c>
      <c r="O30" s="740"/>
      <c r="P30" s="741"/>
    </row>
    <row r="31" spans="1:16" ht="15.6">
      <c r="A31" s="7">
        <v>2</v>
      </c>
      <c r="B31" s="680" t="s">
        <v>466</v>
      </c>
      <c r="C31" s="681"/>
      <c r="D31" s="681"/>
      <c r="E31" s="681"/>
      <c r="F31" s="681"/>
      <c r="G31" s="681"/>
      <c r="H31" s="681"/>
      <c r="I31" s="681"/>
      <c r="J31" s="681"/>
      <c r="K31" s="681"/>
      <c r="L31" s="681"/>
      <c r="M31" s="682"/>
      <c r="N31" s="781" t="s">
        <v>572</v>
      </c>
      <c r="O31" s="779"/>
      <c r="P31" s="780"/>
    </row>
    <row r="32" spans="1:16" ht="15.6">
      <c r="A32" s="7">
        <v>3</v>
      </c>
      <c r="B32" s="680" t="s">
        <v>468</v>
      </c>
      <c r="C32" s="681"/>
      <c r="D32" s="681"/>
      <c r="E32" s="681"/>
      <c r="F32" s="681"/>
      <c r="G32" s="681"/>
      <c r="H32" s="681"/>
      <c r="I32" s="681"/>
      <c r="J32" s="681"/>
      <c r="K32" s="681"/>
      <c r="L32" s="681"/>
      <c r="M32" s="682"/>
      <c r="N32" s="772">
        <f>'BASE DE CÁLCULO'!G29</f>
        <v>1261.9000000000001</v>
      </c>
      <c r="O32" s="773"/>
      <c r="P32" s="774"/>
    </row>
    <row r="33" spans="1:16" ht="15.6">
      <c r="A33" s="7">
        <v>4</v>
      </c>
      <c r="B33" s="680" t="s">
        <v>469</v>
      </c>
      <c r="C33" s="681"/>
      <c r="D33" s="681"/>
      <c r="E33" s="681"/>
      <c r="F33" s="681"/>
      <c r="G33" s="681"/>
      <c r="H33" s="681"/>
      <c r="I33" s="681"/>
      <c r="J33" s="681"/>
      <c r="K33" s="681"/>
      <c r="L33" s="681"/>
      <c r="M33" s="682"/>
      <c r="N33" s="782" t="str">
        <f>'BASE DE CÁLCULO'!E29</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1261.9000000000001</v>
      </c>
      <c r="O39" s="773"/>
      <c r="P39" s="774"/>
    </row>
    <row r="40" spans="1:16" ht="15.6">
      <c r="A40" s="7" t="s">
        <v>27</v>
      </c>
      <c r="B40" s="680" t="s">
        <v>474</v>
      </c>
      <c r="C40" s="681"/>
      <c r="D40" s="681"/>
      <c r="E40" s="681"/>
      <c r="F40" s="681"/>
      <c r="G40" s="681"/>
      <c r="H40" s="681"/>
      <c r="I40" s="681"/>
      <c r="J40" s="681"/>
      <c r="K40" s="681"/>
      <c r="L40" s="681"/>
      <c r="M40" s="682"/>
      <c r="N40" s="772" t="str">
        <f>'BASE DE CÁLCULO'!I29</f>
        <v>-</v>
      </c>
      <c r="O40" s="773"/>
      <c r="P40" s="774"/>
    </row>
    <row r="41" spans="1:16" ht="15.6">
      <c r="A41" s="7" t="s">
        <v>30</v>
      </c>
      <c r="B41" s="680" t="s">
        <v>475</v>
      </c>
      <c r="C41" s="681"/>
      <c r="D41" s="681"/>
      <c r="E41" s="681"/>
      <c r="F41" s="681"/>
      <c r="G41" s="681"/>
      <c r="H41" s="681"/>
      <c r="I41" s="681"/>
      <c r="J41" s="681"/>
      <c r="K41" s="681"/>
      <c r="L41" s="681"/>
      <c r="M41" s="682"/>
      <c r="N41" s="772" t="str">
        <f>'BASE DE CÁLCULO'!J29</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1261.9000000000001</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143.86000000000001</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191.81</v>
      </c>
      <c r="O53" s="773"/>
      <c r="P53" s="774"/>
    </row>
    <row r="54" spans="1:16" ht="15.6">
      <c r="A54" s="633" t="s">
        <v>480</v>
      </c>
      <c r="B54" s="634"/>
      <c r="C54" s="634"/>
      <c r="D54" s="634"/>
      <c r="E54" s="634"/>
      <c r="F54" s="634"/>
      <c r="G54" s="634"/>
      <c r="H54" s="634"/>
      <c r="I54" s="634"/>
      <c r="J54" s="634"/>
      <c r="K54" s="634"/>
      <c r="L54" s="634"/>
      <c r="M54" s="635"/>
      <c r="N54" s="775">
        <f>SUM(N52:P53)</f>
        <v>335.67</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252.38</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31.55</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37.86</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18.93</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12.62</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7.57</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2.52</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100.95</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464.38</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CÁLCULO'!K29</f>
        <v>138.54</v>
      </c>
      <c r="O75" s="773"/>
      <c r="P75" s="774"/>
    </row>
    <row r="76" spans="1:16" ht="16.5" customHeight="1">
      <c r="A76" s="7" t="s">
        <v>27</v>
      </c>
      <c r="B76" s="680" t="s">
        <v>331</v>
      </c>
      <c r="C76" s="681"/>
      <c r="D76" s="681"/>
      <c r="E76" s="681"/>
      <c r="F76" s="681"/>
      <c r="G76" s="681"/>
      <c r="H76" s="681"/>
      <c r="I76" s="681"/>
      <c r="J76" s="681"/>
      <c r="K76" s="681"/>
      <c r="L76" s="681"/>
      <c r="M76" s="682"/>
      <c r="N76" s="772">
        <f>'BASE DE CÁLCULO'!L29</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CÁLCULO'!N29</f>
        <v>235.52</v>
      </c>
      <c r="O77" s="773"/>
      <c r="P77" s="774"/>
    </row>
    <row r="78" spans="1:16" ht="15.6">
      <c r="A78" s="7" t="s">
        <v>32</v>
      </c>
      <c r="B78" s="680" t="s">
        <v>509</v>
      </c>
      <c r="C78" s="681"/>
      <c r="D78" s="681"/>
      <c r="E78" s="681"/>
      <c r="F78" s="681"/>
      <c r="G78" s="681"/>
      <c r="H78" s="681"/>
      <c r="I78" s="681"/>
      <c r="J78" s="681"/>
      <c r="K78" s="681"/>
      <c r="L78" s="681"/>
      <c r="M78" s="682"/>
      <c r="N78" s="772">
        <f>'BASE DE CÁLCULO'!M29</f>
        <v>0</v>
      </c>
      <c r="O78" s="773"/>
      <c r="P78" s="774"/>
    </row>
    <row r="79" spans="1:16" ht="15.6">
      <c r="A79" s="7" t="s">
        <v>56</v>
      </c>
      <c r="B79" s="680" t="s">
        <v>510</v>
      </c>
      <c r="C79" s="681"/>
      <c r="D79" s="681"/>
      <c r="E79" s="681"/>
      <c r="F79" s="681"/>
      <c r="G79" s="681"/>
      <c r="H79" s="681"/>
      <c r="I79" s="681"/>
      <c r="J79" s="681"/>
      <c r="K79" s="681"/>
      <c r="L79" s="681"/>
      <c r="M79" s="682"/>
      <c r="N79" s="772">
        <f>'BASE DE CÁLCULO'!Q29</f>
        <v>25.3</v>
      </c>
      <c r="O79" s="773"/>
      <c r="P79" s="774"/>
    </row>
    <row r="80" spans="1:16" ht="15.6">
      <c r="A80" s="7" t="s">
        <v>58</v>
      </c>
      <c r="B80" s="680" t="s">
        <v>511</v>
      </c>
      <c r="C80" s="681"/>
      <c r="D80" s="681"/>
      <c r="E80" s="681"/>
      <c r="F80" s="681"/>
      <c r="G80" s="681"/>
      <c r="H80" s="681"/>
      <c r="I80" s="681"/>
      <c r="J80" s="681"/>
      <c r="K80" s="681"/>
      <c r="L80" s="681"/>
      <c r="M80" s="682"/>
      <c r="N80" s="714">
        <f>'BASE DE CÁLCULO'!S29</f>
        <v>174.26</v>
      </c>
      <c r="O80" s="715"/>
      <c r="P80" s="716"/>
    </row>
    <row r="81" spans="1:16" ht="16.2" customHeight="1">
      <c r="A81" s="7" t="s">
        <v>60</v>
      </c>
      <c r="B81" s="680" t="s">
        <v>334</v>
      </c>
      <c r="C81" s="681"/>
      <c r="D81" s="681"/>
      <c r="E81" s="681"/>
      <c r="F81" s="681"/>
      <c r="G81" s="681"/>
      <c r="H81" s="681"/>
      <c r="I81" s="681"/>
      <c r="J81" s="681"/>
      <c r="K81" s="681"/>
      <c r="L81" s="681"/>
      <c r="M81" s="682"/>
      <c r="N81" s="772">
        <f>'BASE DE CÁLCULO'!R29</f>
        <v>6.43</v>
      </c>
      <c r="O81" s="773"/>
      <c r="P81" s="774"/>
    </row>
    <row r="82" spans="1:16" ht="15.6">
      <c r="A82" s="633" t="s">
        <v>480</v>
      </c>
      <c r="B82" s="634"/>
      <c r="C82" s="634"/>
      <c r="D82" s="634"/>
      <c r="E82" s="634"/>
      <c r="F82" s="634"/>
      <c r="G82" s="634"/>
      <c r="H82" s="634"/>
      <c r="I82" s="634"/>
      <c r="J82" s="634"/>
      <c r="K82" s="634"/>
      <c r="L82" s="634"/>
      <c r="M82" s="635"/>
      <c r="N82" s="775">
        <f>SUM(N75:P81)</f>
        <v>738.16</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335.67</v>
      </c>
      <c r="O88" s="769"/>
      <c r="P88" s="770"/>
    </row>
    <row r="89" spans="1:16" ht="15.6">
      <c r="A89" s="11" t="s">
        <v>491</v>
      </c>
      <c r="B89" s="699" t="s">
        <v>518</v>
      </c>
      <c r="C89" s="700"/>
      <c r="D89" s="700"/>
      <c r="E89" s="700"/>
      <c r="F89" s="700"/>
      <c r="G89" s="700"/>
      <c r="H89" s="700"/>
      <c r="I89" s="700"/>
      <c r="J89" s="700"/>
      <c r="K89" s="700"/>
      <c r="L89" s="700"/>
      <c r="M89" s="701"/>
      <c r="N89" s="769">
        <f>N68</f>
        <v>464.38</v>
      </c>
      <c r="O89" s="769"/>
      <c r="P89" s="770"/>
    </row>
    <row r="90" spans="1:16" ht="15.6">
      <c r="A90" s="9" t="s">
        <v>506</v>
      </c>
      <c r="B90" s="699" t="s">
        <v>519</v>
      </c>
      <c r="C90" s="700"/>
      <c r="D90" s="700"/>
      <c r="E90" s="700"/>
      <c r="F90" s="700"/>
      <c r="G90" s="700"/>
      <c r="H90" s="700"/>
      <c r="I90" s="700"/>
      <c r="J90" s="700"/>
      <c r="K90" s="700"/>
      <c r="L90" s="700"/>
      <c r="M90" s="701"/>
      <c r="N90" s="769">
        <f>N82</f>
        <v>738.16</v>
      </c>
      <c r="O90" s="769"/>
      <c r="P90" s="770"/>
    </row>
    <row r="91" spans="1:16" ht="15.6">
      <c r="A91" s="633" t="s">
        <v>480</v>
      </c>
      <c r="B91" s="702"/>
      <c r="C91" s="702"/>
      <c r="D91" s="702"/>
      <c r="E91" s="702"/>
      <c r="F91" s="702"/>
      <c r="G91" s="702"/>
      <c r="H91" s="702"/>
      <c r="I91" s="702"/>
      <c r="J91" s="702"/>
      <c r="K91" s="702"/>
      <c r="L91" s="702"/>
      <c r="M91" s="703"/>
      <c r="N91" s="765">
        <f>SUM(N88:P90)</f>
        <v>1538.21</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5.3</v>
      </c>
      <c r="O95" s="769"/>
      <c r="P95" s="770"/>
    </row>
    <row r="96" spans="1:16" ht="15.6">
      <c r="A96" s="7" t="s">
        <v>27</v>
      </c>
      <c r="B96" s="680" t="s">
        <v>522</v>
      </c>
      <c r="C96" s="681"/>
      <c r="D96" s="681"/>
      <c r="E96" s="681"/>
      <c r="F96" s="681"/>
      <c r="G96" s="681"/>
      <c r="H96" s="681"/>
      <c r="I96" s="681"/>
      <c r="J96" s="681"/>
      <c r="K96" s="681"/>
      <c r="L96" s="681"/>
      <c r="M96" s="682"/>
      <c r="N96" s="768">
        <f>N46*'BASE DE CÁLCULO'!C89</f>
        <v>0.38</v>
      </c>
      <c r="O96" s="769"/>
      <c r="P96" s="770"/>
    </row>
    <row r="97" spans="1:16" ht="15.6">
      <c r="A97" s="7" t="s">
        <v>30</v>
      </c>
      <c r="B97" s="680" t="s">
        <v>523</v>
      </c>
      <c r="C97" s="681"/>
      <c r="D97" s="681"/>
      <c r="E97" s="681"/>
      <c r="F97" s="681"/>
      <c r="G97" s="681"/>
      <c r="H97" s="681"/>
      <c r="I97" s="681"/>
      <c r="J97" s="681"/>
      <c r="K97" s="681"/>
      <c r="L97" s="681"/>
      <c r="M97" s="682"/>
      <c r="N97" s="768">
        <f>N46*'BASE DE CÁLCULO'!C90</f>
        <v>0.13</v>
      </c>
      <c r="O97" s="769"/>
      <c r="P97" s="770"/>
    </row>
    <row r="98" spans="1:16" ht="15.6">
      <c r="A98" s="7" t="s">
        <v>32</v>
      </c>
      <c r="B98" s="680" t="s">
        <v>524</v>
      </c>
      <c r="C98" s="681"/>
      <c r="D98" s="681"/>
      <c r="E98" s="681"/>
      <c r="F98" s="681"/>
      <c r="G98" s="681"/>
      <c r="H98" s="681"/>
      <c r="I98" s="681"/>
      <c r="J98" s="681"/>
      <c r="K98" s="681"/>
      <c r="L98" s="681"/>
      <c r="M98" s="682"/>
      <c r="N98" s="768">
        <f>N46*'BASE DE CÁLCULO'!C91</f>
        <v>24.48</v>
      </c>
      <c r="O98" s="769"/>
      <c r="P98" s="770"/>
    </row>
    <row r="99" spans="1:16" ht="15.6">
      <c r="A99" s="7" t="s">
        <v>56</v>
      </c>
      <c r="B99" s="680" t="s">
        <v>525</v>
      </c>
      <c r="C99" s="681"/>
      <c r="D99" s="681"/>
      <c r="E99" s="681"/>
      <c r="F99" s="681"/>
      <c r="G99" s="681"/>
      <c r="H99" s="681"/>
      <c r="I99" s="681"/>
      <c r="J99" s="681"/>
      <c r="K99" s="681"/>
      <c r="L99" s="681"/>
      <c r="M99" s="682"/>
      <c r="N99" s="768">
        <f>N46*'BASE DE CÁLCULO'!C92</f>
        <v>8.9600000000000009</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0.76</v>
      </c>
      <c r="O100" s="684"/>
      <c r="P100" s="685"/>
    </row>
    <row r="101" spans="1:16" ht="15.6">
      <c r="A101" s="633" t="s">
        <v>480</v>
      </c>
      <c r="B101" s="634"/>
      <c r="C101" s="634"/>
      <c r="D101" s="634"/>
      <c r="E101" s="634"/>
      <c r="F101" s="634"/>
      <c r="G101" s="634"/>
      <c r="H101" s="634"/>
      <c r="I101" s="634"/>
      <c r="J101" s="634"/>
      <c r="K101" s="634"/>
      <c r="L101" s="634"/>
      <c r="M101" s="635"/>
      <c r="N101" s="765">
        <f>SUM(N95:P100)</f>
        <v>40.01</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143.86000000000001</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14.39</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23.98</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0.38</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5.8</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3.03</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1.01</v>
      </c>
      <c r="O115" s="769"/>
      <c r="P115" s="770"/>
    </row>
    <row r="116" spans="1:16" ht="15.6">
      <c r="A116" s="633" t="s">
        <v>480</v>
      </c>
      <c r="B116" s="634"/>
      <c r="C116" s="634"/>
      <c r="D116" s="634"/>
      <c r="E116" s="634"/>
      <c r="F116" s="634"/>
      <c r="G116" s="634"/>
      <c r="H116" s="634"/>
      <c r="I116" s="634"/>
      <c r="J116" s="634"/>
      <c r="K116" s="634"/>
      <c r="L116" s="634"/>
      <c r="M116" s="635"/>
      <c r="N116" s="765">
        <f>SUM(N109:P115)</f>
        <v>192.45</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6.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192.45</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192.45</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CÁLCULO'!O29</f>
        <v>145.94999999999999</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CÁLCULO'!P29</f>
        <v>1.02</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146.97</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158.97999999999999</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333.85</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396.14</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214.13</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1103.0999999999999</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1261.9000000000001</v>
      </c>
      <c r="O153" s="769"/>
      <c r="P153" s="770"/>
    </row>
    <row r="154" spans="1:17" ht="15.6">
      <c r="A154" s="7" t="s">
        <v>27</v>
      </c>
      <c r="B154" s="680" t="s">
        <v>561</v>
      </c>
      <c r="C154" s="681"/>
      <c r="D154" s="681"/>
      <c r="E154" s="681"/>
      <c r="F154" s="681"/>
      <c r="G154" s="681"/>
      <c r="H154" s="681"/>
      <c r="I154" s="681"/>
      <c r="J154" s="681"/>
      <c r="K154" s="681"/>
      <c r="L154" s="681"/>
      <c r="M154" s="682"/>
      <c r="N154" s="768">
        <f>N91</f>
        <v>1538.21</v>
      </c>
      <c r="O154" s="769"/>
      <c r="P154" s="770"/>
    </row>
    <row r="155" spans="1:17" ht="15.6">
      <c r="A155" s="7" t="s">
        <v>30</v>
      </c>
      <c r="B155" s="680" t="s">
        <v>562</v>
      </c>
      <c r="C155" s="681"/>
      <c r="D155" s="681"/>
      <c r="E155" s="681"/>
      <c r="F155" s="681"/>
      <c r="G155" s="681"/>
      <c r="H155" s="681"/>
      <c r="I155" s="681"/>
      <c r="J155" s="681"/>
      <c r="K155" s="681"/>
      <c r="L155" s="681"/>
      <c r="M155" s="682"/>
      <c r="N155" s="768">
        <f>N101</f>
        <v>40.01</v>
      </c>
      <c r="O155" s="769"/>
      <c r="P155" s="770"/>
    </row>
    <row r="156" spans="1:17" ht="15.6">
      <c r="A156" s="7" t="s">
        <v>32</v>
      </c>
      <c r="B156" s="680" t="s">
        <v>563</v>
      </c>
      <c r="C156" s="681"/>
      <c r="D156" s="681"/>
      <c r="E156" s="681"/>
      <c r="F156" s="681"/>
      <c r="G156" s="681"/>
      <c r="H156" s="681"/>
      <c r="I156" s="681"/>
      <c r="J156" s="681"/>
      <c r="K156" s="681"/>
      <c r="L156" s="681"/>
      <c r="M156" s="682"/>
      <c r="N156" s="768">
        <f>N129</f>
        <v>192.45</v>
      </c>
      <c r="O156" s="769"/>
      <c r="P156" s="770"/>
    </row>
    <row r="157" spans="1:17" ht="15.6">
      <c r="A157" s="7" t="s">
        <v>56</v>
      </c>
      <c r="B157" s="680" t="s">
        <v>564</v>
      </c>
      <c r="C157" s="681"/>
      <c r="D157" s="681"/>
      <c r="E157" s="681"/>
      <c r="F157" s="681"/>
      <c r="G157" s="681"/>
      <c r="H157" s="681"/>
      <c r="I157" s="681"/>
      <c r="J157" s="681"/>
      <c r="K157" s="681"/>
      <c r="L157" s="681"/>
      <c r="M157" s="682"/>
      <c r="N157" s="768">
        <f>N136</f>
        <v>146.97</v>
      </c>
      <c r="O157" s="769"/>
      <c r="P157" s="770"/>
    </row>
    <row r="158" spans="1:17" ht="15.6">
      <c r="A158" s="633" t="s">
        <v>565</v>
      </c>
      <c r="B158" s="634"/>
      <c r="C158" s="634"/>
      <c r="D158" s="634"/>
      <c r="E158" s="634"/>
      <c r="F158" s="634"/>
      <c r="G158" s="634"/>
      <c r="H158" s="634"/>
      <c r="I158" s="634"/>
      <c r="J158" s="634"/>
      <c r="K158" s="634"/>
      <c r="L158" s="634"/>
      <c r="M158" s="635"/>
      <c r="N158" s="765">
        <f>SUM(N153:P157)</f>
        <v>3179.54</v>
      </c>
      <c r="O158" s="766"/>
      <c r="P158" s="767"/>
    </row>
    <row r="159" spans="1:17" ht="15.6">
      <c r="A159" s="7" t="s">
        <v>58</v>
      </c>
      <c r="B159" s="680" t="s">
        <v>566</v>
      </c>
      <c r="C159" s="681"/>
      <c r="D159" s="681"/>
      <c r="E159" s="681"/>
      <c r="F159" s="681"/>
      <c r="G159" s="681"/>
      <c r="H159" s="681"/>
      <c r="I159" s="681"/>
      <c r="J159" s="681"/>
      <c r="K159" s="681"/>
      <c r="L159" s="681"/>
      <c r="M159" s="682"/>
      <c r="N159" s="768">
        <f>N147</f>
        <v>1103.0999999999999</v>
      </c>
      <c r="O159" s="769"/>
      <c r="P159" s="770"/>
    </row>
    <row r="160" spans="1:17" ht="15.6">
      <c r="A160" s="633" t="s">
        <v>567</v>
      </c>
      <c r="B160" s="634"/>
      <c r="C160" s="634"/>
      <c r="D160" s="634"/>
      <c r="E160" s="634"/>
      <c r="F160" s="634"/>
      <c r="G160" s="634"/>
      <c r="H160" s="634"/>
      <c r="I160" s="634"/>
      <c r="J160" s="634"/>
      <c r="K160" s="634"/>
      <c r="L160" s="634"/>
      <c r="M160" s="635"/>
      <c r="N160" s="765">
        <f>SUM(N158:P159)</f>
        <v>4282.6400000000003</v>
      </c>
      <c r="O160" s="766"/>
      <c r="P160" s="767"/>
    </row>
    <row r="161" spans="1:16" ht="15.6">
      <c r="A161" s="633" t="s">
        <v>568</v>
      </c>
      <c r="B161" s="634"/>
      <c r="C161" s="634"/>
      <c r="D161" s="634"/>
      <c r="E161" s="634"/>
      <c r="F161" s="634"/>
      <c r="G161" s="634"/>
      <c r="H161" s="634"/>
      <c r="I161" s="634"/>
      <c r="J161" s="634"/>
      <c r="K161" s="634"/>
      <c r="L161" s="634"/>
      <c r="M161" s="635"/>
      <c r="N161" s="665">
        <f>N160*N20</f>
        <v>21413.200000000001</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158" sqref="N158:P159"/>
    </sheetView>
  </sheetViews>
  <sheetFormatPr defaultColWidth="9.109375" defaultRowHeight="13.2"/>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CÁLCULO'!B30</f>
        <v>Vitória/ES</v>
      </c>
      <c r="O12" s="740"/>
      <c r="P12" s="741"/>
    </row>
    <row r="13" spans="1:16" ht="15.6">
      <c r="A13" s="7" t="s">
        <v>30</v>
      </c>
      <c r="B13" s="680" t="s">
        <v>455</v>
      </c>
      <c r="C13" s="681"/>
      <c r="D13" s="681"/>
      <c r="E13" s="681"/>
      <c r="F13" s="681"/>
      <c r="G13" s="681"/>
      <c r="H13" s="681"/>
      <c r="I13" s="681"/>
      <c r="J13" s="681"/>
      <c r="K13" s="681"/>
      <c r="L13" s="681"/>
      <c r="M13" s="682"/>
      <c r="N13" s="739" t="str">
        <f>'BASE DE CÁLCULO'!D30</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CÁLCULO'!C30</f>
        <v>ASG II</v>
      </c>
      <c r="B20" s="625"/>
      <c r="C20" s="625"/>
      <c r="D20" s="626"/>
      <c r="E20" s="751" t="s">
        <v>459</v>
      </c>
      <c r="F20" s="752"/>
      <c r="G20" s="752"/>
      <c r="H20" s="752"/>
      <c r="I20" s="752"/>
      <c r="J20" s="752"/>
      <c r="K20" s="752"/>
      <c r="L20" s="752"/>
      <c r="M20" s="753"/>
      <c r="N20" s="789">
        <f>'BASE DE CÁLCULO'!F30</f>
        <v>4</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ASG II</v>
      </c>
      <c r="O30" s="740"/>
      <c r="P30" s="741"/>
    </row>
    <row r="31" spans="1:16" ht="15.6">
      <c r="A31" s="7">
        <v>2</v>
      </c>
      <c r="B31" s="680" t="s">
        <v>466</v>
      </c>
      <c r="C31" s="681"/>
      <c r="D31" s="681"/>
      <c r="E31" s="681"/>
      <c r="F31" s="681"/>
      <c r="G31" s="681"/>
      <c r="H31" s="681"/>
      <c r="I31" s="681"/>
      <c r="J31" s="681"/>
      <c r="K31" s="681"/>
      <c r="L31" s="681"/>
      <c r="M31" s="682"/>
      <c r="N31" s="781" t="s">
        <v>572</v>
      </c>
      <c r="O31" s="779"/>
      <c r="P31" s="780"/>
    </row>
    <row r="32" spans="1:16" ht="15.6">
      <c r="A32" s="7">
        <v>3</v>
      </c>
      <c r="B32" s="680" t="s">
        <v>468</v>
      </c>
      <c r="C32" s="681"/>
      <c r="D32" s="681"/>
      <c r="E32" s="681"/>
      <c r="F32" s="681"/>
      <c r="G32" s="681"/>
      <c r="H32" s="681"/>
      <c r="I32" s="681"/>
      <c r="J32" s="681"/>
      <c r="K32" s="681"/>
      <c r="L32" s="681"/>
      <c r="M32" s="682"/>
      <c r="N32" s="772">
        <f>'BASE DE CÁLCULO'!G30</f>
        <v>1261.9000000000001</v>
      </c>
      <c r="O32" s="773"/>
      <c r="P32" s="774"/>
    </row>
    <row r="33" spans="1:16" ht="15.6">
      <c r="A33" s="7">
        <v>4</v>
      </c>
      <c r="B33" s="680" t="s">
        <v>469</v>
      </c>
      <c r="C33" s="681"/>
      <c r="D33" s="681"/>
      <c r="E33" s="681"/>
      <c r="F33" s="681"/>
      <c r="G33" s="681"/>
      <c r="H33" s="681"/>
      <c r="I33" s="681"/>
      <c r="J33" s="681"/>
      <c r="K33" s="681"/>
      <c r="L33" s="681"/>
      <c r="M33" s="682"/>
      <c r="N33" s="782" t="str">
        <f>'BASE DE CÁLCULO'!E30</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1261.9000000000001</v>
      </c>
      <c r="O39" s="773"/>
      <c r="P39" s="774"/>
    </row>
    <row r="40" spans="1:16" ht="15.6">
      <c r="A40" s="7" t="s">
        <v>27</v>
      </c>
      <c r="B40" s="680" t="s">
        <v>474</v>
      </c>
      <c r="C40" s="681"/>
      <c r="D40" s="681"/>
      <c r="E40" s="681"/>
      <c r="F40" s="681"/>
      <c r="G40" s="681"/>
      <c r="H40" s="681"/>
      <c r="I40" s="681"/>
      <c r="J40" s="681"/>
      <c r="K40" s="681"/>
      <c r="L40" s="681"/>
      <c r="M40" s="682"/>
      <c r="N40" s="772" t="str">
        <f>'BASE DE CÁLCULO'!I30</f>
        <v>-</v>
      </c>
      <c r="O40" s="773"/>
      <c r="P40" s="774"/>
    </row>
    <row r="41" spans="1:16" ht="15.6">
      <c r="A41" s="7" t="s">
        <v>30</v>
      </c>
      <c r="B41" s="680" t="s">
        <v>475</v>
      </c>
      <c r="C41" s="681"/>
      <c r="D41" s="681"/>
      <c r="E41" s="681"/>
      <c r="F41" s="681"/>
      <c r="G41" s="681"/>
      <c r="H41" s="681"/>
      <c r="I41" s="681"/>
      <c r="J41" s="681"/>
      <c r="K41" s="681"/>
      <c r="L41" s="681"/>
      <c r="M41" s="682"/>
      <c r="N41" s="772">
        <f>'BASE DE CÁLCULO'!J30</f>
        <v>484.8</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1746.7</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199.12</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265.5</v>
      </c>
      <c r="O53" s="773"/>
      <c r="P53" s="774"/>
    </row>
    <row r="54" spans="1:16" ht="15.6">
      <c r="A54" s="633" t="s">
        <v>480</v>
      </c>
      <c r="B54" s="634"/>
      <c r="C54" s="634"/>
      <c r="D54" s="634"/>
      <c r="E54" s="634"/>
      <c r="F54" s="634"/>
      <c r="G54" s="634"/>
      <c r="H54" s="634"/>
      <c r="I54" s="634"/>
      <c r="J54" s="634"/>
      <c r="K54" s="634"/>
      <c r="L54" s="634"/>
      <c r="M54" s="635"/>
      <c r="N54" s="775">
        <f>SUM(N52:P53)</f>
        <v>464.62</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349.34</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43.67</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52.4</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26.2</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17.47</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10.48</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3.49</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139.74</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642.79</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CÁLCULO'!K30</f>
        <v>138.54</v>
      </c>
      <c r="O75" s="773"/>
      <c r="P75" s="774"/>
    </row>
    <row r="76" spans="1:16" ht="16.5" customHeight="1">
      <c r="A76" s="7" t="s">
        <v>27</v>
      </c>
      <c r="B76" s="680" t="s">
        <v>331</v>
      </c>
      <c r="C76" s="681"/>
      <c r="D76" s="681"/>
      <c r="E76" s="681"/>
      <c r="F76" s="681"/>
      <c r="G76" s="681"/>
      <c r="H76" s="681"/>
      <c r="I76" s="681"/>
      <c r="J76" s="681"/>
      <c r="K76" s="681"/>
      <c r="L76" s="681"/>
      <c r="M76" s="682"/>
      <c r="N76" s="772">
        <f>'BASE DE CÁLCULO'!L30</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CÁLCULO'!N30</f>
        <v>235.52</v>
      </c>
      <c r="O77" s="773"/>
      <c r="P77" s="774"/>
    </row>
    <row r="78" spans="1:16" ht="15.6">
      <c r="A78" s="7" t="s">
        <v>32</v>
      </c>
      <c r="B78" s="680" t="s">
        <v>509</v>
      </c>
      <c r="C78" s="681"/>
      <c r="D78" s="681"/>
      <c r="E78" s="681"/>
      <c r="F78" s="681"/>
      <c r="G78" s="681"/>
      <c r="H78" s="681"/>
      <c r="I78" s="681"/>
      <c r="J78" s="681"/>
      <c r="K78" s="681"/>
      <c r="L78" s="681"/>
      <c r="M78" s="682"/>
      <c r="N78" s="772">
        <f>'BASE DE CÁLCULO'!M30</f>
        <v>0</v>
      </c>
      <c r="O78" s="773"/>
      <c r="P78" s="774"/>
    </row>
    <row r="79" spans="1:16" ht="15.6">
      <c r="A79" s="7" t="s">
        <v>56</v>
      </c>
      <c r="B79" s="680" t="s">
        <v>510</v>
      </c>
      <c r="C79" s="681"/>
      <c r="D79" s="681"/>
      <c r="E79" s="681"/>
      <c r="F79" s="681"/>
      <c r="G79" s="681"/>
      <c r="H79" s="681"/>
      <c r="I79" s="681"/>
      <c r="J79" s="681"/>
      <c r="K79" s="681"/>
      <c r="L79" s="681"/>
      <c r="M79" s="682"/>
      <c r="N79" s="772">
        <f>'BASE DE CÁLCULO'!Q30</f>
        <v>25.3</v>
      </c>
      <c r="O79" s="773"/>
      <c r="P79" s="774"/>
    </row>
    <row r="80" spans="1:16" ht="15.6">
      <c r="A80" s="7" t="s">
        <v>58</v>
      </c>
      <c r="B80" s="680" t="s">
        <v>511</v>
      </c>
      <c r="C80" s="681"/>
      <c r="D80" s="681"/>
      <c r="E80" s="681"/>
      <c r="F80" s="681"/>
      <c r="G80" s="681"/>
      <c r="H80" s="681"/>
      <c r="I80" s="681"/>
      <c r="J80" s="681"/>
      <c r="K80" s="681"/>
      <c r="L80" s="681"/>
      <c r="M80" s="682"/>
      <c r="N80" s="714">
        <f>'BASE DE CÁLCULO'!S30</f>
        <v>174.26</v>
      </c>
      <c r="O80" s="715"/>
      <c r="P80" s="716"/>
    </row>
    <row r="81" spans="1:16" ht="16.2" customHeight="1">
      <c r="A81" s="7" t="s">
        <v>60</v>
      </c>
      <c r="B81" s="680" t="s">
        <v>334</v>
      </c>
      <c r="C81" s="681"/>
      <c r="D81" s="681"/>
      <c r="E81" s="681"/>
      <c r="F81" s="681"/>
      <c r="G81" s="681"/>
      <c r="H81" s="681"/>
      <c r="I81" s="681"/>
      <c r="J81" s="681"/>
      <c r="K81" s="681"/>
      <c r="L81" s="681"/>
      <c r="M81" s="682"/>
      <c r="N81" s="772">
        <f>'BASE DE CÁLCULO'!R30</f>
        <v>6.43</v>
      </c>
      <c r="O81" s="773"/>
      <c r="P81" s="774"/>
    </row>
    <row r="82" spans="1:16" ht="15.6">
      <c r="A82" s="633" t="s">
        <v>480</v>
      </c>
      <c r="B82" s="634"/>
      <c r="C82" s="634"/>
      <c r="D82" s="634"/>
      <c r="E82" s="634"/>
      <c r="F82" s="634"/>
      <c r="G82" s="634"/>
      <c r="H82" s="634"/>
      <c r="I82" s="634"/>
      <c r="J82" s="634"/>
      <c r="K82" s="634"/>
      <c r="L82" s="634"/>
      <c r="M82" s="635"/>
      <c r="N82" s="775">
        <f>SUM(N75:P81)</f>
        <v>738.16</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464.62</v>
      </c>
      <c r="O88" s="769"/>
      <c r="P88" s="770"/>
    </row>
    <row r="89" spans="1:16" ht="15.6">
      <c r="A89" s="11" t="s">
        <v>491</v>
      </c>
      <c r="B89" s="699" t="s">
        <v>518</v>
      </c>
      <c r="C89" s="700"/>
      <c r="D89" s="700"/>
      <c r="E89" s="700"/>
      <c r="F89" s="700"/>
      <c r="G89" s="700"/>
      <c r="H89" s="700"/>
      <c r="I89" s="700"/>
      <c r="J89" s="700"/>
      <c r="K89" s="700"/>
      <c r="L89" s="700"/>
      <c r="M89" s="701"/>
      <c r="N89" s="769">
        <f>N68</f>
        <v>642.79</v>
      </c>
      <c r="O89" s="769"/>
      <c r="P89" s="770"/>
    </row>
    <row r="90" spans="1:16" ht="15.6">
      <c r="A90" s="9" t="s">
        <v>506</v>
      </c>
      <c r="B90" s="699" t="s">
        <v>519</v>
      </c>
      <c r="C90" s="700"/>
      <c r="D90" s="700"/>
      <c r="E90" s="700"/>
      <c r="F90" s="700"/>
      <c r="G90" s="700"/>
      <c r="H90" s="700"/>
      <c r="I90" s="700"/>
      <c r="J90" s="700"/>
      <c r="K90" s="700"/>
      <c r="L90" s="700"/>
      <c r="M90" s="701"/>
      <c r="N90" s="769">
        <f>N82</f>
        <v>738.16</v>
      </c>
      <c r="O90" s="769"/>
      <c r="P90" s="770"/>
    </row>
    <row r="91" spans="1:16" ht="15.6">
      <c r="A91" s="633" t="s">
        <v>480</v>
      </c>
      <c r="B91" s="702"/>
      <c r="C91" s="702"/>
      <c r="D91" s="702"/>
      <c r="E91" s="702"/>
      <c r="F91" s="702"/>
      <c r="G91" s="702"/>
      <c r="H91" s="702"/>
      <c r="I91" s="702"/>
      <c r="J91" s="702"/>
      <c r="K91" s="702"/>
      <c r="L91" s="702"/>
      <c r="M91" s="703"/>
      <c r="N91" s="765">
        <f>SUM(N88:P90)</f>
        <v>1845.57</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7.34</v>
      </c>
      <c r="O95" s="769"/>
      <c r="P95" s="770"/>
    </row>
    <row r="96" spans="1:16" ht="15.6">
      <c r="A96" s="7" t="s">
        <v>27</v>
      </c>
      <c r="B96" s="680" t="s">
        <v>522</v>
      </c>
      <c r="C96" s="681"/>
      <c r="D96" s="681"/>
      <c r="E96" s="681"/>
      <c r="F96" s="681"/>
      <c r="G96" s="681"/>
      <c r="H96" s="681"/>
      <c r="I96" s="681"/>
      <c r="J96" s="681"/>
      <c r="K96" s="681"/>
      <c r="L96" s="681"/>
      <c r="M96" s="682"/>
      <c r="N96" s="768">
        <f>N46*'BASE DE CÁLCULO'!C89</f>
        <v>0.52</v>
      </c>
      <c r="O96" s="769"/>
      <c r="P96" s="770"/>
    </row>
    <row r="97" spans="1:16" ht="15.6">
      <c r="A97" s="7" t="s">
        <v>30</v>
      </c>
      <c r="B97" s="680" t="s">
        <v>523</v>
      </c>
      <c r="C97" s="681"/>
      <c r="D97" s="681"/>
      <c r="E97" s="681"/>
      <c r="F97" s="681"/>
      <c r="G97" s="681"/>
      <c r="H97" s="681"/>
      <c r="I97" s="681"/>
      <c r="J97" s="681"/>
      <c r="K97" s="681"/>
      <c r="L97" s="681"/>
      <c r="M97" s="682"/>
      <c r="N97" s="768">
        <f>N46*'BASE DE CÁLCULO'!C90</f>
        <v>0.17</v>
      </c>
      <c r="O97" s="769"/>
      <c r="P97" s="770"/>
    </row>
    <row r="98" spans="1:16" ht="15.6">
      <c r="A98" s="7" t="s">
        <v>32</v>
      </c>
      <c r="B98" s="680" t="s">
        <v>524</v>
      </c>
      <c r="C98" s="681"/>
      <c r="D98" s="681"/>
      <c r="E98" s="681"/>
      <c r="F98" s="681"/>
      <c r="G98" s="681"/>
      <c r="H98" s="681"/>
      <c r="I98" s="681"/>
      <c r="J98" s="681"/>
      <c r="K98" s="681"/>
      <c r="L98" s="681"/>
      <c r="M98" s="682"/>
      <c r="N98" s="768">
        <f>N46*'BASE DE CÁLCULO'!C91</f>
        <v>33.89</v>
      </c>
      <c r="O98" s="769"/>
      <c r="P98" s="770"/>
    </row>
    <row r="99" spans="1:16" ht="15.6">
      <c r="A99" s="7" t="s">
        <v>56</v>
      </c>
      <c r="B99" s="680" t="s">
        <v>525</v>
      </c>
      <c r="C99" s="681"/>
      <c r="D99" s="681"/>
      <c r="E99" s="681"/>
      <c r="F99" s="681"/>
      <c r="G99" s="681"/>
      <c r="H99" s="681"/>
      <c r="I99" s="681"/>
      <c r="J99" s="681"/>
      <c r="K99" s="681"/>
      <c r="L99" s="681"/>
      <c r="M99" s="682"/>
      <c r="N99" s="768">
        <f>N46*'BASE DE CÁLCULO'!C92</f>
        <v>12.4</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1.05</v>
      </c>
      <c r="O100" s="684"/>
      <c r="P100" s="685"/>
    </row>
    <row r="101" spans="1:16" ht="15.6">
      <c r="A101" s="633" t="s">
        <v>480</v>
      </c>
      <c r="B101" s="634"/>
      <c r="C101" s="634"/>
      <c r="D101" s="634"/>
      <c r="E101" s="634"/>
      <c r="F101" s="634"/>
      <c r="G101" s="634"/>
      <c r="H101" s="634"/>
      <c r="I101" s="634"/>
      <c r="J101" s="634"/>
      <c r="K101" s="634"/>
      <c r="L101" s="634"/>
      <c r="M101" s="635"/>
      <c r="N101" s="765">
        <f>SUM(N95:P100)</f>
        <v>55.37</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199.12</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19.91</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33.19</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0.52</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8.0299999999999994</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4.1900000000000004</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1.4</v>
      </c>
      <c r="O115" s="769"/>
      <c r="P115" s="770"/>
    </row>
    <row r="116" spans="1:16" ht="15.6">
      <c r="A116" s="633" t="s">
        <v>480</v>
      </c>
      <c r="B116" s="634"/>
      <c r="C116" s="634"/>
      <c r="D116" s="634"/>
      <c r="E116" s="634"/>
      <c r="F116" s="634"/>
      <c r="G116" s="634"/>
      <c r="H116" s="634"/>
      <c r="I116" s="634"/>
      <c r="J116" s="634"/>
      <c r="K116" s="634"/>
      <c r="L116" s="634"/>
      <c r="M116" s="635"/>
      <c r="N116" s="765">
        <f>SUM(N109:P115)</f>
        <v>266.36</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5.7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266.36</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266.36</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CÁLCULO'!O30</f>
        <v>152.61000000000001</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CÁLCULO'!P30</f>
        <v>1.02</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153.63</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203.38</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427.1</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506.79</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273.94</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1411.21</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1746.7</v>
      </c>
      <c r="O153" s="769"/>
      <c r="P153" s="770"/>
    </row>
    <row r="154" spans="1:17" ht="15.6">
      <c r="A154" s="7" t="s">
        <v>27</v>
      </c>
      <c r="B154" s="680" t="s">
        <v>561</v>
      </c>
      <c r="C154" s="681"/>
      <c r="D154" s="681"/>
      <c r="E154" s="681"/>
      <c r="F154" s="681"/>
      <c r="G154" s="681"/>
      <c r="H154" s="681"/>
      <c r="I154" s="681"/>
      <c r="J154" s="681"/>
      <c r="K154" s="681"/>
      <c r="L154" s="681"/>
      <c r="M154" s="682"/>
      <c r="N154" s="768">
        <f>N91</f>
        <v>1845.57</v>
      </c>
      <c r="O154" s="769"/>
      <c r="P154" s="770"/>
    </row>
    <row r="155" spans="1:17" ht="15.6">
      <c r="A155" s="7" t="s">
        <v>30</v>
      </c>
      <c r="B155" s="680" t="s">
        <v>562</v>
      </c>
      <c r="C155" s="681"/>
      <c r="D155" s="681"/>
      <c r="E155" s="681"/>
      <c r="F155" s="681"/>
      <c r="G155" s="681"/>
      <c r="H155" s="681"/>
      <c r="I155" s="681"/>
      <c r="J155" s="681"/>
      <c r="K155" s="681"/>
      <c r="L155" s="681"/>
      <c r="M155" s="682"/>
      <c r="N155" s="768">
        <f>N101</f>
        <v>55.37</v>
      </c>
      <c r="O155" s="769"/>
      <c r="P155" s="770"/>
    </row>
    <row r="156" spans="1:17" ht="15.6">
      <c r="A156" s="7" t="s">
        <v>32</v>
      </c>
      <c r="B156" s="680" t="s">
        <v>563</v>
      </c>
      <c r="C156" s="681"/>
      <c r="D156" s="681"/>
      <c r="E156" s="681"/>
      <c r="F156" s="681"/>
      <c r="G156" s="681"/>
      <c r="H156" s="681"/>
      <c r="I156" s="681"/>
      <c r="J156" s="681"/>
      <c r="K156" s="681"/>
      <c r="L156" s="681"/>
      <c r="M156" s="682"/>
      <c r="N156" s="768">
        <f>N129</f>
        <v>266.36</v>
      </c>
      <c r="O156" s="769"/>
      <c r="P156" s="770"/>
    </row>
    <row r="157" spans="1:17" ht="15.6">
      <c r="A157" s="7" t="s">
        <v>56</v>
      </c>
      <c r="B157" s="680" t="s">
        <v>564</v>
      </c>
      <c r="C157" s="681"/>
      <c r="D157" s="681"/>
      <c r="E157" s="681"/>
      <c r="F157" s="681"/>
      <c r="G157" s="681"/>
      <c r="H157" s="681"/>
      <c r="I157" s="681"/>
      <c r="J157" s="681"/>
      <c r="K157" s="681"/>
      <c r="L157" s="681"/>
      <c r="M157" s="682"/>
      <c r="N157" s="768">
        <f>N136</f>
        <v>153.63</v>
      </c>
      <c r="O157" s="769"/>
      <c r="P157" s="770"/>
    </row>
    <row r="158" spans="1:17" ht="15.6">
      <c r="A158" s="633" t="s">
        <v>565</v>
      </c>
      <c r="B158" s="634"/>
      <c r="C158" s="634"/>
      <c r="D158" s="634"/>
      <c r="E158" s="634"/>
      <c r="F158" s="634"/>
      <c r="G158" s="634"/>
      <c r="H158" s="634"/>
      <c r="I158" s="634"/>
      <c r="J158" s="634"/>
      <c r="K158" s="634"/>
      <c r="L158" s="634"/>
      <c r="M158" s="635"/>
      <c r="N158" s="765">
        <f>SUM(N153:P157)</f>
        <v>4067.63</v>
      </c>
      <c r="O158" s="766"/>
      <c r="P158" s="767"/>
    </row>
    <row r="159" spans="1:17" ht="15.6">
      <c r="A159" s="7" t="s">
        <v>58</v>
      </c>
      <c r="B159" s="680" t="s">
        <v>566</v>
      </c>
      <c r="C159" s="681"/>
      <c r="D159" s="681"/>
      <c r="E159" s="681"/>
      <c r="F159" s="681"/>
      <c r="G159" s="681"/>
      <c r="H159" s="681"/>
      <c r="I159" s="681"/>
      <c r="J159" s="681"/>
      <c r="K159" s="681"/>
      <c r="L159" s="681"/>
      <c r="M159" s="682"/>
      <c r="N159" s="768">
        <f>N147</f>
        <v>1411.21</v>
      </c>
      <c r="O159" s="769"/>
      <c r="P159" s="770"/>
    </row>
    <row r="160" spans="1:17" ht="15.6">
      <c r="A160" s="633" t="s">
        <v>567</v>
      </c>
      <c r="B160" s="634"/>
      <c r="C160" s="634"/>
      <c r="D160" s="634"/>
      <c r="E160" s="634"/>
      <c r="F160" s="634"/>
      <c r="G160" s="634"/>
      <c r="H160" s="634"/>
      <c r="I160" s="634"/>
      <c r="J160" s="634"/>
      <c r="K160" s="634"/>
      <c r="L160" s="634"/>
      <c r="M160" s="635"/>
      <c r="N160" s="765">
        <f>SUM(N158:P159)</f>
        <v>5478.84</v>
      </c>
      <c r="O160" s="766"/>
      <c r="P160" s="767"/>
    </row>
    <row r="161" spans="1:16" ht="15.6">
      <c r="A161" s="633" t="s">
        <v>568</v>
      </c>
      <c r="B161" s="634"/>
      <c r="C161" s="634"/>
      <c r="D161" s="634"/>
      <c r="E161" s="634"/>
      <c r="F161" s="634"/>
      <c r="G161" s="634"/>
      <c r="H161" s="634"/>
      <c r="I161" s="634"/>
      <c r="J161" s="634"/>
      <c r="K161" s="634"/>
      <c r="L161" s="634"/>
      <c r="M161" s="635"/>
      <c r="N161" s="665">
        <f>N160*N20</f>
        <v>21915.360000000001</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158" sqref="N158:P159"/>
    </sheetView>
  </sheetViews>
  <sheetFormatPr defaultColWidth="9.109375" defaultRowHeight="13.2"/>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CÁLCULO'!B31</f>
        <v>Vitória/ES</v>
      </c>
      <c r="O12" s="740"/>
      <c r="P12" s="741"/>
    </row>
    <row r="13" spans="1:16" ht="15.6">
      <c r="A13" s="7" t="s">
        <v>30</v>
      </c>
      <c r="B13" s="680" t="s">
        <v>455</v>
      </c>
      <c r="C13" s="681"/>
      <c r="D13" s="681"/>
      <c r="E13" s="681"/>
      <c r="F13" s="681"/>
      <c r="G13" s="681"/>
      <c r="H13" s="681"/>
      <c r="I13" s="681"/>
      <c r="J13" s="681"/>
      <c r="K13" s="681"/>
      <c r="L13" s="681"/>
      <c r="M13" s="682"/>
      <c r="N13" s="739" t="str">
        <f>'BASE DE CÁLCULO'!D31</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CÁLCULO'!C31</f>
        <v>Supervisor de Cozinha</v>
      </c>
      <c r="B20" s="625"/>
      <c r="C20" s="625"/>
      <c r="D20" s="626"/>
      <c r="E20" s="751" t="s">
        <v>459</v>
      </c>
      <c r="F20" s="752"/>
      <c r="G20" s="752"/>
      <c r="H20" s="752"/>
      <c r="I20" s="752"/>
      <c r="J20" s="752"/>
      <c r="K20" s="752"/>
      <c r="L20" s="752"/>
      <c r="M20" s="753"/>
      <c r="N20" s="789">
        <f>'BASE DE CÁLCULO'!F31</f>
        <v>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Supervisor de Cozinha</v>
      </c>
      <c r="O30" s="740"/>
      <c r="P30" s="741"/>
    </row>
    <row r="31" spans="1:16" ht="15.6">
      <c r="A31" s="7">
        <v>2</v>
      </c>
      <c r="B31" s="680" t="s">
        <v>466</v>
      </c>
      <c r="C31" s="681"/>
      <c r="D31" s="681"/>
      <c r="E31" s="681"/>
      <c r="F31" s="681"/>
      <c r="G31" s="681"/>
      <c r="H31" s="681"/>
      <c r="I31" s="681"/>
      <c r="J31" s="681"/>
      <c r="K31" s="681"/>
      <c r="L31" s="681"/>
      <c r="M31" s="682"/>
      <c r="N31" s="781" t="s">
        <v>573</v>
      </c>
      <c r="O31" s="779"/>
      <c r="P31" s="780"/>
    </row>
    <row r="32" spans="1:16" ht="15.6">
      <c r="A32" s="7">
        <v>3</v>
      </c>
      <c r="B32" s="680" t="s">
        <v>468</v>
      </c>
      <c r="C32" s="681"/>
      <c r="D32" s="681"/>
      <c r="E32" s="681"/>
      <c r="F32" s="681"/>
      <c r="G32" s="681"/>
      <c r="H32" s="681"/>
      <c r="I32" s="681"/>
      <c r="J32" s="681"/>
      <c r="K32" s="681"/>
      <c r="L32" s="681"/>
      <c r="M32" s="682"/>
      <c r="N32" s="772">
        <f>'BASE DE CÁLCULO'!G31</f>
        <v>2961</v>
      </c>
      <c r="O32" s="773"/>
      <c r="P32" s="774"/>
    </row>
    <row r="33" spans="1:16" ht="15.6">
      <c r="A33" s="7">
        <v>4</v>
      </c>
      <c r="B33" s="680" t="s">
        <v>469</v>
      </c>
      <c r="C33" s="681"/>
      <c r="D33" s="681"/>
      <c r="E33" s="681"/>
      <c r="F33" s="681"/>
      <c r="G33" s="681"/>
      <c r="H33" s="681"/>
      <c r="I33" s="681"/>
      <c r="J33" s="681"/>
      <c r="K33" s="681"/>
      <c r="L33" s="681"/>
      <c r="M33" s="682"/>
      <c r="N33" s="782" t="str">
        <f>'BASE DE CÁLCULO'!E31</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2961</v>
      </c>
      <c r="O39" s="773"/>
      <c r="P39" s="774"/>
    </row>
    <row r="40" spans="1:16" ht="15.6">
      <c r="A40" s="7" t="s">
        <v>27</v>
      </c>
      <c r="B40" s="680" t="s">
        <v>474</v>
      </c>
      <c r="C40" s="681"/>
      <c r="D40" s="681"/>
      <c r="E40" s="681"/>
      <c r="F40" s="681"/>
      <c r="G40" s="681"/>
      <c r="H40" s="681"/>
      <c r="I40" s="681"/>
      <c r="J40" s="681"/>
      <c r="K40" s="681"/>
      <c r="L40" s="681"/>
      <c r="M40" s="682"/>
      <c r="N40" s="772" t="str">
        <f>'BASE DE CÁLCULO'!I31</f>
        <v>-</v>
      </c>
      <c r="O40" s="773"/>
      <c r="P40" s="774"/>
    </row>
    <row r="41" spans="1:16" ht="15.6">
      <c r="A41" s="7" t="s">
        <v>30</v>
      </c>
      <c r="B41" s="680" t="s">
        <v>475</v>
      </c>
      <c r="C41" s="681"/>
      <c r="D41" s="681"/>
      <c r="E41" s="681"/>
      <c r="F41" s="681"/>
      <c r="G41" s="681"/>
      <c r="H41" s="681"/>
      <c r="I41" s="681"/>
      <c r="J41" s="681"/>
      <c r="K41" s="681"/>
      <c r="L41" s="681"/>
      <c r="M41" s="682"/>
      <c r="N41" s="772">
        <f>'BASE DE CÁLCULO'!J31</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3203.4</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365.19</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486.92</v>
      </c>
      <c r="O53" s="773"/>
      <c r="P53" s="774"/>
    </row>
    <row r="54" spans="1:16" ht="15.6">
      <c r="A54" s="633" t="s">
        <v>480</v>
      </c>
      <c r="B54" s="634"/>
      <c r="C54" s="634"/>
      <c r="D54" s="634"/>
      <c r="E54" s="634"/>
      <c r="F54" s="634"/>
      <c r="G54" s="634"/>
      <c r="H54" s="634"/>
      <c r="I54" s="634"/>
      <c r="J54" s="634"/>
      <c r="K54" s="634"/>
      <c r="L54" s="634"/>
      <c r="M54" s="635"/>
      <c r="N54" s="775">
        <f>SUM(N52:P53)</f>
        <v>852.11</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640.67999999999995</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80.09</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96.1</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48.05</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32.03</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19.22</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6.41</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256.27</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1178.8499999999999</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CÁLCULO'!K31</f>
        <v>87.57</v>
      </c>
      <c r="O75" s="773"/>
      <c r="P75" s="774"/>
    </row>
    <row r="76" spans="1:16" ht="16.5" customHeight="1">
      <c r="A76" s="7" t="s">
        <v>27</v>
      </c>
      <c r="B76" s="680" t="s">
        <v>331</v>
      </c>
      <c r="C76" s="681"/>
      <c r="D76" s="681"/>
      <c r="E76" s="681"/>
      <c r="F76" s="681"/>
      <c r="G76" s="681"/>
      <c r="H76" s="681"/>
      <c r="I76" s="681"/>
      <c r="J76" s="681"/>
      <c r="K76" s="681"/>
      <c r="L76" s="681"/>
      <c r="M76" s="682"/>
      <c r="N76" s="772">
        <f>'BASE DE CÁLCULO'!L31</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CÁLCULO'!N31</f>
        <v>235.52</v>
      </c>
      <c r="O77" s="773"/>
      <c r="P77" s="774"/>
    </row>
    <row r="78" spans="1:16" ht="15.6">
      <c r="A78" s="7" t="s">
        <v>32</v>
      </c>
      <c r="B78" s="680" t="s">
        <v>509</v>
      </c>
      <c r="C78" s="681"/>
      <c r="D78" s="681"/>
      <c r="E78" s="681"/>
      <c r="F78" s="681"/>
      <c r="G78" s="681"/>
      <c r="H78" s="681"/>
      <c r="I78" s="681"/>
      <c r="J78" s="681"/>
      <c r="K78" s="681"/>
      <c r="L78" s="681"/>
      <c r="M78" s="682"/>
      <c r="N78" s="772">
        <f>'BASE DE CÁLCULO'!M31</f>
        <v>0</v>
      </c>
      <c r="O78" s="773"/>
      <c r="P78" s="774"/>
    </row>
    <row r="79" spans="1:16" ht="15.6">
      <c r="A79" s="7" t="s">
        <v>56</v>
      </c>
      <c r="B79" s="680" t="s">
        <v>510</v>
      </c>
      <c r="C79" s="681"/>
      <c r="D79" s="681"/>
      <c r="E79" s="681"/>
      <c r="F79" s="681"/>
      <c r="G79" s="681"/>
      <c r="H79" s="681"/>
      <c r="I79" s="681"/>
      <c r="J79" s="681"/>
      <c r="K79" s="681"/>
      <c r="L79" s="681"/>
      <c r="M79" s="682"/>
      <c r="N79" s="772">
        <f>'BASE DE CÁLCULO'!Q31</f>
        <v>25.3</v>
      </c>
      <c r="O79" s="773"/>
      <c r="P79" s="774"/>
    </row>
    <row r="80" spans="1:16" ht="15.6">
      <c r="A80" s="7" t="s">
        <v>58</v>
      </c>
      <c r="B80" s="680" t="s">
        <v>511</v>
      </c>
      <c r="C80" s="681"/>
      <c r="D80" s="681"/>
      <c r="E80" s="681"/>
      <c r="F80" s="681"/>
      <c r="G80" s="681"/>
      <c r="H80" s="681"/>
      <c r="I80" s="681"/>
      <c r="J80" s="681"/>
      <c r="K80" s="681"/>
      <c r="L80" s="681"/>
      <c r="M80" s="682"/>
      <c r="N80" s="714">
        <f>'BASE DE CÁLCULO'!S31</f>
        <v>140.28</v>
      </c>
      <c r="O80" s="715"/>
      <c r="P80" s="716"/>
    </row>
    <row r="81" spans="1:16" ht="16.2" customHeight="1">
      <c r="A81" s="7" t="s">
        <v>60</v>
      </c>
      <c r="B81" s="680" t="s">
        <v>334</v>
      </c>
      <c r="C81" s="681"/>
      <c r="D81" s="681"/>
      <c r="E81" s="681"/>
      <c r="F81" s="681"/>
      <c r="G81" s="681"/>
      <c r="H81" s="681"/>
      <c r="I81" s="681"/>
      <c r="J81" s="681"/>
      <c r="K81" s="681"/>
      <c r="L81" s="681"/>
      <c r="M81" s="682"/>
      <c r="N81" s="772">
        <f>'BASE DE CÁLCULO'!R31</f>
        <v>6.43</v>
      </c>
      <c r="O81" s="773"/>
      <c r="P81" s="774"/>
    </row>
    <row r="82" spans="1:16" ht="15.6">
      <c r="A82" s="633" t="s">
        <v>480</v>
      </c>
      <c r="B82" s="634"/>
      <c r="C82" s="634"/>
      <c r="D82" s="634"/>
      <c r="E82" s="634"/>
      <c r="F82" s="634"/>
      <c r="G82" s="634"/>
      <c r="H82" s="634"/>
      <c r="I82" s="634"/>
      <c r="J82" s="634"/>
      <c r="K82" s="634"/>
      <c r="L82" s="634"/>
      <c r="M82" s="635"/>
      <c r="N82" s="775">
        <f>SUM(N75:P81)</f>
        <v>653.21</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852.11</v>
      </c>
      <c r="O88" s="769"/>
      <c r="P88" s="770"/>
    </row>
    <row r="89" spans="1:16" ht="15.6">
      <c r="A89" s="11" t="s">
        <v>491</v>
      </c>
      <c r="B89" s="699" t="s">
        <v>518</v>
      </c>
      <c r="C89" s="700"/>
      <c r="D89" s="700"/>
      <c r="E89" s="700"/>
      <c r="F89" s="700"/>
      <c r="G89" s="700"/>
      <c r="H89" s="700"/>
      <c r="I89" s="700"/>
      <c r="J89" s="700"/>
      <c r="K89" s="700"/>
      <c r="L89" s="700"/>
      <c r="M89" s="701"/>
      <c r="N89" s="769">
        <f>N68</f>
        <v>1178.8499999999999</v>
      </c>
      <c r="O89" s="769"/>
      <c r="P89" s="770"/>
    </row>
    <row r="90" spans="1:16" ht="15.6">
      <c r="A90" s="9" t="s">
        <v>506</v>
      </c>
      <c r="B90" s="699" t="s">
        <v>519</v>
      </c>
      <c r="C90" s="700"/>
      <c r="D90" s="700"/>
      <c r="E90" s="700"/>
      <c r="F90" s="700"/>
      <c r="G90" s="700"/>
      <c r="H90" s="700"/>
      <c r="I90" s="700"/>
      <c r="J90" s="700"/>
      <c r="K90" s="700"/>
      <c r="L90" s="700"/>
      <c r="M90" s="701"/>
      <c r="N90" s="769">
        <f>N82</f>
        <v>653.21</v>
      </c>
      <c r="O90" s="769"/>
      <c r="P90" s="770"/>
    </row>
    <row r="91" spans="1:16" ht="15.6">
      <c r="A91" s="633" t="s">
        <v>480</v>
      </c>
      <c r="B91" s="702"/>
      <c r="C91" s="702"/>
      <c r="D91" s="702"/>
      <c r="E91" s="702"/>
      <c r="F91" s="702"/>
      <c r="G91" s="702"/>
      <c r="H91" s="702"/>
      <c r="I91" s="702"/>
      <c r="J91" s="702"/>
      <c r="K91" s="702"/>
      <c r="L91" s="702"/>
      <c r="M91" s="703"/>
      <c r="N91" s="765">
        <f>SUM(N88:P90)</f>
        <v>2684.17</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13.45</v>
      </c>
      <c r="O95" s="769"/>
      <c r="P95" s="770"/>
    </row>
    <row r="96" spans="1:16" ht="15.6">
      <c r="A96" s="7" t="s">
        <v>27</v>
      </c>
      <c r="B96" s="680" t="s">
        <v>522</v>
      </c>
      <c r="C96" s="681"/>
      <c r="D96" s="681"/>
      <c r="E96" s="681"/>
      <c r="F96" s="681"/>
      <c r="G96" s="681"/>
      <c r="H96" s="681"/>
      <c r="I96" s="681"/>
      <c r="J96" s="681"/>
      <c r="K96" s="681"/>
      <c r="L96" s="681"/>
      <c r="M96" s="682"/>
      <c r="N96" s="768">
        <f>N46*'BASE DE CÁLCULO'!C89</f>
        <v>0.96</v>
      </c>
      <c r="O96" s="769"/>
      <c r="P96" s="770"/>
    </row>
    <row r="97" spans="1:16" ht="15.6">
      <c r="A97" s="7" t="s">
        <v>30</v>
      </c>
      <c r="B97" s="680" t="s">
        <v>523</v>
      </c>
      <c r="C97" s="681"/>
      <c r="D97" s="681"/>
      <c r="E97" s="681"/>
      <c r="F97" s="681"/>
      <c r="G97" s="681"/>
      <c r="H97" s="681"/>
      <c r="I97" s="681"/>
      <c r="J97" s="681"/>
      <c r="K97" s="681"/>
      <c r="L97" s="681"/>
      <c r="M97" s="682"/>
      <c r="N97" s="768">
        <f>N46*'BASE DE CÁLCULO'!C90</f>
        <v>0.32</v>
      </c>
      <c r="O97" s="769"/>
      <c r="P97" s="770"/>
    </row>
    <row r="98" spans="1:16" ht="15.6">
      <c r="A98" s="7" t="s">
        <v>32</v>
      </c>
      <c r="B98" s="680" t="s">
        <v>524</v>
      </c>
      <c r="C98" s="681"/>
      <c r="D98" s="681"/>
      <c r="E98" s="681"/>
      <c r="F98" s="681"/>
      <c r="G98" s="681"/>
      <c r="H98" s="681"/>
      <c r="I98" s="681"/>
      <c r="J98" s="681"/>
      <c r="K98" s="681"/>
      <c r="L98" s="681"/>
      <c r="M98" s="682"/>
      <c r="N98" s="768">
        <f>N46*'BASE DE CÁLCULO'!C91</f>
        <v>62.15</v>
      </c>
      <c r="O98" s="769"/>
      <c r="P98" s="770"/>
    </row>
    <row r="99" spans="1:16" ht="15.6">
      <c r="A99" s="7" t="s">
        <v>56</v>
      </c>
      <c r="B99" s="680" t="s">
        <v>525</v>
      </c>
      <c r="C99" s="681"/>
      <c r="D99" s="681"/>
      <c r="E99" s="681"/>
      <c r="F99" s="681"/>
      <c r="G99" s="681"/>
      <c r="H99" s="681"/>
      <c r="I99" s="681"/>
      <c r="J99" s="681"/>
      <c r="K99" s="681"/>
      <c r="L99" s="681"/>
      <c r="M99" s="682"/>
      <c r="N99" s="768">
        <f>N46*'BASE DE CÁLCULO'!C92</f>
        <v>22.74</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1.92</v>
      </c>
      <c r="O100" s="684"/>
      <c r="P100" s="685"/>
    </row>
    <row r="101" spans="1:16" ht="15.6">
      <c r="A101" s="633" t="s">
        <v>480</v>
      </c>
      <c r="B101" s="634"/>
      <c r="C101" s="634"/>
      <c r="D101" s="634"/>
      <c r="E101" s="634"/>
      <c r="F101" s="634"/>
      <c r="G101" s="634"/>
      <c r="H101" s="634"/>
      <c r="I101" s="634"/>
      <c r="J101" s="634"/>
      <c r="K101" s="634"/>
      <c r="L101" s="634"/>
      <c r="M101" s="635"/>
      <c r="N101" s="765">
        <f>SUM(N95:P100)</f>
        <v>101.54</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365.19</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36.520000000000003</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60.86</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0.96</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14.74</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7.69</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2.56</v>
      </c>
      <c r="O115" s="769"/>
      <c r="P115" s="770"/>
    </row>
    <row r="116" spans="1:16" ht="15.6">
      <c r="A116" s="633" t="s">
        <v>480</v>
      </c>
      <c r="B116" s="634"/>
      <c r="C116" s="634"/>
      <c r="D116" s="634"/>
      <c r="E116" s="634"/>
      <c r="F116" s="634"/>
      <c r="G116" s="634"/>
      <c r="H116" s="634"/>
      <c r="I116" s="634"/>
      <c r="J116" s="634"/>
      <c r="K116" s="634"/>
      <c r="L116" s="634"/>
      <c r="M116" s="635"/>
      <c r="N116" s="765">
        <f>SUM(N109:P115)</f>
        <v>488.52</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488.52</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488.52</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CÁLCULO'!O31</f>
        <v>139.91</v>
      </c>
      <c r="O133" s="769"/>
      <c r="P133" s="770"/>
    </row>
    <row r="134" spans="1:16" ht="16.5" customHeight="1">
      <c r="A134" s="7" t="s">
        <v>27</v>
      </c>
      <c r="B134" s="680" t="s">
        <v>547</v>
      </c>
      <c r="C134" s="681"/>
      <c r="D134" s="681"/>
      <c r="E134" s="681"/>
      <c r="F134" s="681"/>
      <c r="G134" s="681"/>
      <c r="H134" s="681"/>
      <c r="I134" s="681"/>
      <c r="J134" s="681"/>
      <c r="K134" s="681"/>
      <c r="L134" s="681"/>
      <c r="M134" s="682"/>
      <c r="N134" s="768" t="str">
        <f>'BASE DE CÁLCULO'!P31</f>
        <v>-</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139.91</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330.88</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694.84</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824.49</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445.67</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2295.88</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3203.4</v>
      </c>
      <c r="O153" s="769"/>
      <c r="P153" s="770"/>
    </row>
    <row r="154" spans="1:17" ht="15.6">
      <c r="A154" s="7" t="s">
        <v>27</v>
      </c>
      <c r="B154" s="680" t="s">
        <v>561</v>
      </c>
      <c r="C154" s="681"/>
      <c r="D154" s="681"/>
      <c r="E154" s="681"/>
      <c r="F154" s="681"/>
      <c r="G154" s="681"/>
      <c r="H154" s="681"/>
      <c r="I154" s="681"/>
      <c r="J154" s="681"/>
      <c r="K154" s="681"/>
      <c r="L154" s="681"/>
      <c r="M154" s="682"/>
      <c r="N154" s="768">
        <f>N91</f>
        <v>2684.17</v>
      </c>
      <c r="O154" s="769"/>
      <c r="P154" s="770"/>
    </row>
    <row r="155" spans="1:17" ht="15.6">
      <c r="A155" s="7" t="s">
        <v>30</v>
      </c>
      <c r="B155" s="680" t="s">
        <v>562</v>
      </c>
      <c r="C155" s="681"/>
      <c r="D155" s="681"/>
      <c r="E155" s="681"/>
      <c r="F155" s="681"/>
      <c r="G155" s="681"/>
      <c r="H155" s="681"/>
      <c r="I155" s="681"/>
      <c r="J155" s="681"/>
      <c r="K155" s="681"/>
      <c r="L155" s="681"/>
      <c r="M155" s="682"/>
      <c r="N155" s="768">
        <f>N101</f>
        <v>101.54</v>
      </c>
      <c r="O155" s="769"/>
      <c r="P155" s="770"/>
    </row>
    <row r="156" spans="1:17" ht="15.6">
      <c r="A156" s="7" t="s">
        <v>32</v>
      </c>
      <c r="B156" s="680" t="s">
        <v>563</v>
      </c>
      <c r="C156" s="681"/>
      <c r="D156" s="681"/>
      <c r="E156" s="681"/>
      <c r="F156" s="681"/>
      <c r="G156" s="681"/>
      <c r="H156" s="681"/>
      <c r="I156" s="681"/>
      <c r="J156" s="681"/>
      <c r="K156" s="681"/>
      <c r="L156" s="681"/>
      <c r="M156" s="682"/>
      <c r="N156" s="768">
        <f>N129</f>
        <v>488.52</v>
      </c>
      <c r="O156" s="769"/>
      <c r="P156" s="770"/>
    </row>
    <row r="157" spans="1:17" ht="15.6">
      <c r="A157" s="7" t="s">
        <v>56</v>
      </c>
      <c r="B157" s="680" t="s">
        <v>564</v>
      </c>
      <c r="C157" s="681"/>
      <c r="D157" s="681"/>
      <c r="E157" s="681"/>
      <c r="F157" s="681"/>
      <c r="G157" s="681"/>
      <c r="H157" s="681"/>
      <c r="I157" s="681"/>
      <c r="J157" s="681"/>
      <c r="K157" s="681"/>
      <c r="L157" s="681"/>
      <c r="M157" s="682"/>
      <c r="N157" s="768">
        <f>N136</f>
        <v>139.91</v>
      </c>
      <c r="O157" s="769"/>
      <c r="P157" s="770"/>
    </row>
    <row r="158" spans="1:17" ht="15.6">
      <c r="A158" s="633" t="s">
        <v>565</v>
      </c>
      <c r="B158" s="634"/>
      <c r="C158" s="634"/>
      <c r="D158" s="634"/>
      <c r="E158" s="634"/>
      <c r="F158" s="634"/>
      <c r="G158" s="634"/>
      <c r="H158" s="634"/>
      <c r="I158" s="634"/>
      <c r="J158" s="634"/>
      <c r="K158" s="634"/>
      <c r="L158" s="634"/>
      <c r="M158" s="635"/>
      <c r="N158" s="765">
        <f>SUM(N153:P157)</f>
        <v>6617.54</v>
      </c>
      <c r="O158" s="766"/>
      <c r="P158" s="767"/>
    </row>
    <row r="159" spans="1:17" ht="15.6">
      <c r="A159" s="7" t="s">
        <v>58</v>
      </c>
      <c r="B159" s="680" t="s">
        <v>566</v>
      </c>
      <c r="C159" s="681"/>
      <c r="D159" s="681"/>
      <c r="E159" s="681"/>
      <c r="F159" s="681"/>
      <c r="G159" s="681"/>
      <c r="H159" s="681"/>
      <c r="I159" s="681"/>
      <c r="J159" s="681"/>
      <c r="K159" s="681"/>
      <c r="L159" s="681"/>
      <c r="M159" s="682"/>
      <c r="N159" s="768">
        <f>N147</f>
        <v>2295.88</v>
      </c>
      <c r="O159" s="769"/>
      <c r="P159" s="770"/>
    </row>
    <row r="160" spans="1:17" ht="15.6">
      <c r="A160" s="633" t="s">
        <v>567</v>
      </c>
      <c r="B160" s="634"/>
      <c r="C160" s="634"/>
      <c r="D160" s="634"/>
      <c r="E160" s="634"/>
      <c r="F160" s="634"/>
      <c r="G160" s="634"/>
      <c r="H160" s="634"/>
      <c r="I160" s="634"/>
      <c r="J160" s="634"/>
      <c r="K160" s="634"/>
      <c r="L160" s="634"/>
      <c r="M160" s="635"/>
      <c r="N160" s="765">
        <f>SUM(N158:P159)</f>
        <v>8913.42</v>
      </c>
      <c r="O160" s="766"/>
      <c r="P160" s="767"/>
    </row>
    <row r="161" spans="1:16" ht="15.6">
      <c r="A161" s="633" t="s">
        <v>568</v>
      </c>
      <c r="B161" s="634"/>
      <c r="C161" s="634"/>
      <c r="D161" s="634"/>
      <c r="E161" s="634"/>
      <c r="F161" s="634"/>
      <c r="G161" s="634"/>
      <c r="H161" s="634"/>
      <c r="I161" s="634"/>
      <c r="J161" s="634"/>
      <c r="K161" s="634"/>
      <c r="L161" s="634"/>
      <c r="M161" s="635"/>
      <c r="N161" s="665">
        <f>N160*N20</f>
        <v>17826.84</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R156" sqref="R156"/>
    </sheetView>
  </sheetViews>
  <sheetFormatPr defaultColWidth="9.109375" defaultRowHeight="13.2"/>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CÁLCULO'!B32</f>
        <v>Vitória/ES</v>
      </c>
      <c r="O12" s="740"/>
      <c r="P12" s="741"/>
    </row>
    <row r="13" spans="1:16" ht="15.6">
      <c r="A13" s="7" t="s">
        <v>30</v>
      </c>
      <c r="B13" s="680" t="s">
        <v>455</v>
      </c>
      <c r="C13" s="681"/>
      <c r="D13" s="681"/>
      <c r="E13" s="681"/>
      <c r="F13" s="681"/>
      <c r="G13" s="681"/>
      <c r="H13" s="681"/>
      <c r="I13" s="681"/>
      <c r="J13" s="681"/>
      <c r="K13" s="681"/>
      <c r="L13" s="681"/>
      <c r="M13" s="682"/>
      <c r="N13" s="739" t="str">
        <f>'BASE DE CÁLCULO'!D32</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CÁLCULO'!C32</f>
        <v>Encarregado de Serv. Gerais</v>
      </c>
      <c r="B20" s="625"/>
      <c r="C20" s="625"/>
      <c r="D20" s="626"/>
      <c r="E20" s="751" t="s">
        <v>459</v>
      </c>
      <c r="F20" s="752"/>
      <c r="G20" s="752"/>
      <c r="H20" s="752"/>
      <c r="I20" s="752"/>
      <c r="J20" s="752"/>
      <c r="K20" s="752"/>
      <c r="L20" s="752"/>
      <c r="M20" s="753"/>
      <c r="N20" s="789">
        <f>'BASE DE CÁLCULO'!F32</f>
        <v>1</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Encarregado de Serv. Gerais</v>
      </c>
      <c r="O30" s="740"/>
      <c r="P30" s="741"/>
    </row>
    <row r="31" spans="1:16" ht="15.6">
      <c r="A31" s="7">
        <v>2</v>
      </c>
      <c r="B31" s="680" t="s">
        <v>466</v>
      </c>
      <c r="C31" s="681"/>
      <c r="D31" s="681"/>
      <c r="E31" s="681"/>
      <c r="F31" s="681"/>
      <c r="G31" s="681"/>
      <c r="H31" s="681"/>
      <c r="I31" s="681"/>
      <c r="J31" s="681"/>
      <c r="K31" s="681"/>
      <c r="L31" s="681"/>
      <c r="M31" s="682"/>
      <c r="N31" s="781" t="s">
        <v>574</v>
      </c>
      <c r="O31" s="779"/>
      <c r="P31" s="780"/>
    </row>
    <row r="32" spans="1:16" ht="15.6">
      <c r="A32" s="7">
        <v>3</v>
      </c>
      <c r="B32" s="680" t="s">
        <v>468</v>
      </c>
      <c r="C32" s="681"/>
      <c r="D32" s="681"/>
      <c r="E32" s="681"/>
      <c r="F32" s="681"/>
      <c r="G32" s="681"/>
      <c r="H32" s="681"/>
      <c r="I32" s="681"/>
      <c r="J32" s="681"/>
      <c r="K32" s="681"/>
      <c r="L32" s="681"/>
      <c r="M32" s="682"/>
      <c r="N32" s="772">
        <f>'BASE DE CÁLCULO'!G32</f>
        <v>2539.54</v>
      </c>
      <c r="O32" s="773"/>
      <c r="P32" s="774"/>
    </row>
    <row r="33" spans="1:16" ht="15.6">
      <c r="A33" s="7">
        <v>4</v>
      </c>
      <c r="B33" s="680" t="s">
        <v>469</v>
      </c>
      <c r="C33" s="681"/>
      <c r="D33" s="681"/>
      <c r="E33" s="681"/>
      <c r="F33" s="681"/>
      <c r="G33" s="681"/>
      <c r="H33" s="681"/>
      <c r="I33" s="681"/>
      <c r="J33" s="681"/>
      <c r="K33" s="681"/>
      <c r="L33" s="681"/>
      <c r="M33" s="682"/>
      <c r="N33" s="782" t="str">
        <f>'BASE DE CÁLCULO'!E32</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2539.54</v>
      </c>
      <c r="O39" s="773"/>
      <c r="P39" s="774"/>
    </row>
    <row r="40" spans="1:16" ht="15.6">
      <c r="A40" s="7" t="s">
        <v>27</v>
      </c>
      <c r="B40" s="680" t="s">
        <v>474</v>
      </c>
      <c r="C40" s="681"/>
      <c r="D40" s="681"/>
      <c r="E40" s="681"/>
      <c r="F40" s="681"/>
      <c r="G40" s="681"/>
      <c r="H40" s="681"/>
      <c r="I40" s="681"/>
      <c r="J40" s="681"/>
      <c r="K40" s="681"/>
      <c r="L40" s="681"/>
      <c r="M40" s="682"/>
      <c r="N40" s="772" t="str">
        <f>'BASE DE CÁLCULO'!I32</f>
        <v>-</v>
      </c>
      <c r="O40" s="773"/>
      <c r="P40" s="774"/>
    </row>
    <row r="41" spans="1:16" ht="15.6">
      <c r="A41" s="7" t="s">
        <v>30</v>
      </c>
      <c r="B41" s="680" t="s">
        <v>475</v>
      </c>
      <c r="C41" s="681"/>
      <c r="D41" s="681"/>
      <c r="E41" s="681"/>
      <c r="F41" s="681"/>
      <c r="G41" s="681"/>
      <c r="H41" s="681"/>
      <c r="I41" s="681"/>
      <c r="J41" s="681"/>
      <c r="K41" s="681"/>
      <c r="L41" s="681"/>
      <c r="M41" s="682"/>
      <c r="N41" s="772" t="str">
        <f>'BASE DE CÁLCULO'!J32</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2539.54</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289.51</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386.01</v>
      </c>
      <c r="O53" s="773"/>
      <c r="P53" s="774"/>
    </row>
    <row r="54" spans="1:16" ht="15.6">
      <c r="A54" s="633" t="s">
        <v>480</v>
      </c>
      <c r="B54" s="634"/>
      <c r="C54" s="634"/>
      <c r="D54" s="634"/>
      <c r="E54" s="634"/>
      <c r="F54" s="634"/>
      <c r="G54" s="634"/>
      <c r="H54" s="634"/>
      <c r="I54" s="634"/>
      <c r="J54" s="634"/>
      <c r="K54" s="634"/>
      <c r="L54" s="634"/>
      <c r="M54" s="635"/>
      <c r="N54" s="775">
        <f>SUM(N52:P53)</f>
        <v>675.52</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507.91</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63.49</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76.19</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38.090000000000003</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25.4</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15.24</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5.08</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203.16</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934.56</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CÁLCULO'!K32</f>
        <v>100.21</v>
      </c>
      <c r="O75" s="773"/>
      <c r="P75" s="774"/>
    </row>
    <row r="76" spans="1:16" ht="16.5" customHeight="1">
      <c r="A76" s="7" t="s">
        <v>27</v>
      </c>
      <c r="B76" s="680" t="s">
        <v>331</v>
      </c>
      <c r="C76" s="681"/>
      <c r="D76" s="681"/>
      <c r="E76" s="681"/>
      <c r="F76" s="681"/>
      <c r="G76" s="681"/>
      <c r="H76" s="681"/>
      <c r="I76" s="681"/>
      <c r="J76" s="681"/>
      <c r="K76" s="681"/>
      <c r="L76" s="681"/>
      <c r="M76" s="682"/>
      <c r="N76" s="772">
        <f>'BASE DE CÁLCULO'!L32</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CÁLCULO'!N32</f>
        <v>235.52</v>
      </c>
      <c r="O77" s="773"/>
      <c r="P77" s="774"/>
    </row>
    <row r="78" spans="1:16" ht="15.6">
      <c r="A78" s="7" t="s">
        <v>32</v>
      </c>
      <c r="B78" s="680" t="s">
        <v>509</v>
      </c>
      <c r="C78" s="681"/>
      <c r="D78" s="681"/>
      <c r="E78" s="681"/>
      <c r="F78" s="681"/>
      <c r="G78" s="681"/>
      <c r="H78" s="681"/>
      <c r="I78" s="681"/>
      <c r="J78" s="681"/>
      <c r="K78" s="681"/>
      <c r="L78" s="681"/>
      <c r="M78" s="682"/>
      <c r="N78" s="772">
        <f>'BASE DE CÁLCULO'!M32</f>
        <v>0</v>
      </c>
      <c r="O78" s="773"/>
      <c r="P78" s="774"/>
    </row>
    <row r="79" spans="1:16" ht="15.6">
      <c r="A79" s="7" t="s">
        <v>56</v>
      </c>
      <c r="B79" s="680" t="s">
        <v>510</v>
      </c>
      <c r="C79" s="681"/>
      <c r="D79" s="681"/>
      <c r="E79" s="681"/>
      <c r="F79" s="681"/>
      <c r="G79" s="681"/>
      <c r="H79" s="681"/>
      <c r="I79" s="681"/>
      <c r="J79" s="681"/>
      <c r="K79" s="681"/>
      <c r="L79" s="681"/>
      <c r="M79" s="682"/>
      <c r="N79" s="772">
        <f>'BASE DE CÁLCULO'!Q32</f>
        <v>25.3</v>
      </c>
      <c r="O79" s="773"/>
      <c r="P79" s="774"/>
    </row>
    <row r="80" spans="1:16" ht="15.6">
      <c r="A80" s="7" t="s">
        <v>58</v>
      </c>
      <c r="B80" s="680" t="s">
        <v>511</v>
      </c>
      <c r="C80" s="681"/>
      <c r="D80" s="681"/>
      <c r="E80" s="681"/>
      <c r="F80" s="681"/>
      <c r="G80" s="681"/>
      <c r="H80" s="681"/>
      <c r="I80" s="681"/>
      <c r="J80" s="681"/>
      <c r="K80" s="681"/>
      <c r="L80" s="681"/>
      <c r="M80" s="682"/>
      <c r="N80" s="714">
        <f>'BASE DE CÁLCULO'!S32</f>
        <v>148.71</v>
      </c>
      <c r="O80" s="715"/>
      <c r="P80" s="716"/>
    </row>
    <row r="81" spans="1:16" ht="16.2" customHeight="1">
      <c r="A81" s="7" t="s">
        <v>60</v>
      </c>
      <c r="B81" s="680" t="s">
        <v>334</v>
      </c>
      <c r="C81" s="681"/>
      <c r="D81" s="681"/>
      <c r="E81" s="681"/>
      <c r="F81" s="681"/>
      <c r="G81" s="681"/>
      <c r="H81" s="681"/>
      <c r="I81" s="681"/>
      <c r="J81" s="681"/>
      <c r="K81" s="681"/>
      <c r="L81" s="681"/>
      <c r="M81" s="682"/>
      <c r="N81" s="772">
        <f>'BASE DE CÁLCULO'!R32</f>
        <v>6.43</v>
      </c>
      <c r="O81" s="773"/>
      <c r="P81" s="774"/>
    </row>
    <row r="82" spans="1:16" ht="15.6">
      <c r="A82" s="633" t="s">
        <v>480</v>
      </c>
      <c r="B82" s="634"/>
      <c r="C82" s="634"/>
      <c r="D82" s="634"/>
      <c r="E82" s="634"/>
      <c r="F82" s="634"/>
      <c r="G82" s="634"/>
      <c r="H82" s="634"/>
      <c r="I82" s="634"/>
      <c r="J82" s="634"/>
      <c r="K82" s="634"/>
      <c r="L82" s="634"/>
      <c r="M82" s="635"/>
      <c r="N82" s="775">
        <f>SUM(N75:P81)</f>
        <v>674.28</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675.52</v>
      </c>
      <c r="O88" s="769"/>
      <c r="P88" s="770"/>
    </row>
    <row r="89" spans="1:16" ht="15.6">
      <c r="A89" s="11" t="s">
        <v>491</v>
      </c>
      <c r="B89" s="699" t="s">
        <v>518</v>
      </c>
      <c r="C89" s="700"/>
      <c r="D89" s="700"/>
      <c r="E89" s="700"/>
      <c r="F89" s="700"/>
      <c r="G89" s="700"/>
      <c r="H89" s="700"/>
      <c r="I89" s="700"/>
      <c r="J89" s="700"/>
      <c r="K89" s="700"/>
      <c r="L89" s="700"/>
      <c r="M89" s="701"/>
      <c r="N89" s="769">
        <f>N68</f>
        <v>934.56</v>
      </c>
      <c r="O89" s="769"/>
      <c r="P89" s="770"/>
    </row>
    <row r="90" spans="1:16" ht="15.6">
      <c r="A90" s="9" t="s">
        <v>506</v>
      </c>
      <c r="B90" s="699" t="s">
        <v>519</v>
      </c>
      <c r="C90" s="700"/>
      <c r="D90" s="700"/>
      <c r="E90" s="700"/>
      <c r="F90" s="700"/>
      <c r="G90" s="700"/>
      <c r="H90" s="700"/>
      <c r="I90" s="700"/>
      <c r="J90" s="700"/>
      <c r="K90" s="700"/>
      <c r="L90" s="700"/>
      <c r="M90" s="701"/>
      <c r="N90" s="769">
        <f>N82</f>
        <v>674.28</v>
      </c>
      <c r="O90" s="769"/>
      <c r="P90" s="770"/>
    </row>
    <row r="91" spans="1:16" ht="15.6">
      <c r="A91" s="633" t="s">
        <v>480</v>
      </c>
      <c r="B91" s="702"/>
      <c r="C91" s="702"/>
      <c r="D91" s="702"/>
      <c r="E91" s="702"/>
      <c r="F91" s="702"/>
      <c r="G91" s="702"/>
      <c r="H91" s="702"/>
      <c r="I91" s="702"/>
      <c r="J91" s="702"/>
      <c r="K91" s="702"/>
      <c r="L91" s="702"/>
      <c r="M91" s="703"/>
      <c r="N91" s="765">
        <f>SUM(N88:P90)</f>
        <v>2284.36</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10.67</v>
      </c>
      <c r="O95" s="769"/>
      <c r="P95" s="770"/>
    </row>
    <row r="96" spans="1:16" ht="15.6">
      <c r="A96" s="7" t="s">
        <v>27</v>
      </c>
      <c r="B96" s="680" t="s">
        <v>522</v>
      </c>
      <c r="C96" s="681"/>
      <c r="D96" s="681"/>
      <c r="E96" s="681"/>
      <c r="F96" s="681"/>
      <c r="G96" s="681"/>
      <c r="H96" s="681"/>
      <c r="I96" s="681"/>
      <c r="J96" s="681"/>
      <c r="K96" s="681"/>
      <c r="L96" s="681"/>
      <c r="M96" s="682"/>
      <c r="N96" s="768">
        <f>N46*'BASE DE CÁLCULO'!C89</f>
        <v>0.76</v>
      </c>
      <c r="O96" s="769"/>
      <c r="P96" s="770"/>
    </row>
    <row r="97" spans="1:16" ht="15.6">
      <c r="A97" s="7" t="s">
        <v>30</v>
      </c>
      <c r="B97" s="680" t="s">
        <v>523</v>
      </c>
      <c r="C97" s="681"/>
      <c r="D97" s="681"/>
      <c r="E97" s="681"/>
      <c r="F97" s="681"/>
      <c r="G97" s="681"/>
      <c r="H97" s="681"/>
      <c r="I97" s="681"/>
      <c r="J97" s="681"/>
      <c r="K97" s="681"/>
      <c r="L97" s="681"/>
      <c r="M97" s="682"/>
      <c r="N97" s="768">
        <f>N46*'BASE DE CÁLCULO'!C90</f>
        <v>0.25</v>
      </c>
      <c r="O97" s="769"/>
      <c r="P97" s="770"/>
    </row>
    <row r="98" spans="1:16" ht="15.6">
      <c r="A98" s="7" t="s">
        <v>32</v>
      </c>
      <c r="B98" s="680" t="s">
        <v>524</v>
      </c>
      <c r="C98" s="681"/>
      <c r="D98" s="681"/>
      <c r="E98" s="681"/>
      <c r="F98" s="681"/>
      <c r="G98" s="681"/>
      <c r="H98" s="681"/>
      <c r="I98" s="681"/>
      <c r="J98" s="681"/>
      <c r="K98" s="681"/>
      <c r="L98" s="681"/>
      <c r="M98" s="682"/>
      <c r="N98" s="768">
        <f>N46*'BASE DE CÁLCULO'!C91</f>
        <v>49.27</v>
      </c>
      <c r="O98" s="769"/>
      <c r="P98" s="770"/>
    </row>
    <row r="99" spans="1:16" ht="15.6">
      <c r="A99" s="7" t="s">
        <v>56</v>
      </c>
      <c r="B99" s="680" t="s">
        <v>525</v>
      </c>
      <c r="C99" s="681"/>
      <c r="D99" s="681"/>
      <c r="E99" s="681"/>
      <c r="F99" s="681"/>
      <c r="G99" s="681"/>
      <c r="H99" s="681"/>
      <c r="I99" s="681"/>
      <c r="J99" s="681"/>
      <c r="K99" s="681"/>
      <c r="L99" s="681"/>
      <c r="M99" s="682"/>
      <c r="N99" s="768">
        <f>N46*'BASE DE CÁLCULO'!C92</f>
        <v>18.03</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1.52</v>
      </c>
      <c r="O100" s="684"/>
      <c r="P100" s="685"/>
    </row>
    <row r="101" spans="1:16" ht="15.6">
      <c r="A101" s="633" t="s">
        <v>480</v>
      </c>
      <c r="B101" s="634"/>
      <c r="C101" s="634"/>
      <c r="D101" s="634"/>
      <c r="E101" s="634"/>
      <c r="F101" s="634"/>
      <c r="G101" s="634"/>
      <c r="H101" s="634"/>
      <c r="I101" s="634"/>
      <c r="J101" s="634"/>
      <c r="K101" s="634"/>
      <c r="L101" s="634"/>
      <c r="M101" s="635"/>
      <c r="N101" s="765">
        <f>SUM(N95:P100)</f>
        <v>80.5</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289.51</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28.95</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48.25</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0.76</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11.68</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6.09</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2.0299999999999998</v>
      </c>
      <c r="O115" s="769"/>
      <c r="P115" s="770"/>
    </row>
    <row r="116" spans="1:16" ht="15.6">
      <c r="A116" s="633" t="s">
        <v>480</v>
      </c>
      <c r="B116" s="634"/>
      <c r="C116" s="634"/>
      <c r="D116" s="634"/>
      <c r="E116" s="634"/>
      <c r="F116" s="634"/>
      <c r="G116" s="634"/>
      <c r="H116" s="634"/>
      <c r="I116" s="634"/>
      <c r="J116" s="634"/>
      <c r="K116" s="634"/>
      <c r="L116" s="634"/>
      <c r="M116" s="635"/>
      <c r="N116" s="765">
        <f>SUM(N109:P115)</f>
        <v>387.27</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387.27</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387.27</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CÁLCULO'!O32</f>
        <v>110.03</v>
      </c>
      <c r="O133" s="769"/>
      <c r="P133" s="770"/>
    </row>
    <row r="134" spans="1:16" ht="16.5" customHeight="1">
      <c r="A134" s="7" t="s">
        <v>27</v>
      </c>
      <c r="B134" s="680" t="s">
        <v>547</v>
      </c>
      <c r="C134" s="681"/>
      <c r="D134" s="681"/>
      <c r="E134" s="681"/>
      <c r="F134" s="681"/>
      <c r="G134" s="681"/>
      <c r="H134" s="681"/>
      <c r="I134" s="681"/>
      <c r="J134" s="681"/>
      <c r="K134" s="681"/>
      <c r="L134" s="681"/>
      <c r="M134" s="682"/>
      <c r="N134" s="768" t="str">
        <f>'BASE DE CÁLCULO'!P32</f>
        <v>-</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110.03</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270.08999999999997</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567.17999999999995</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673.01</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363.79</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1874.07</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2539.54</v>
      </c>
      <c r="O153" s="769"/>
      <c r="P153" s="770"/>
    </row>
    <row r="154" spans="1:17" ht="15.6">
      <c r="A154" s="7" t="s">
        <v>27</v>
      </c>
      <c r="B154" s="680" t="s">
        <v>561</v>
      </c>
      <c r="C154" s="681"/>
      <c r="D154" s="681"/>
      <c r="E154" s="681"/>
      <c r="F154" s="681"/>
      <c r="G154" s="681"/>
      <c r="H154" s="681"/>
      <c r="I154" s="681"/>
      <c r="J154" s="681"/>
      <c r="K154" s="681"/>
      <c r="L154" s="681"/>
      <c r="M154" s="682"/>
      <c r="N154" s="768">
        <f>N91</f>
        <v>2284.36</v>
      </c>
      <c r="O154" s="769"/>
      <c r="P154" s="770"/>
    </row>
    <row r="155" spans="1:17" ht="15.6">
      <c r="A155" s="7" t="s">
        <v>30</v>
      </c>
      <c r="B155" s="680" t="s">
        <v>562</v>
      </c>
      <c r="C155" s="681"/>
      <c r="D155" s="681"/>
      <c r="E155" s="681"/>
      <c r="F155" s="681"/>
      <c r="G155" s="681"/>
      <c r="H155" s="681"/>
      <c r="I155" s="681"/>
      <c r="J155" s="681"/>
      <c r="K155" s="681"/>
      <c r="L155" s="681"/>
      <c r="M155" s="682"/>
      <c r="N155" s="768">
        <f>N101</f>
        <v>80.5</v>
      </c>
      <c r="O155" s="769"/>
      <c r="P155" s="770"/>
    </row>
    <row r="156" spans="1:17" ht="15.6">
      <c r="A156" s="7" t="s">
        <v>32</v>
      </c>
      <c r="B156" s="680" t="s">
        <v>563</v>
      </c>
      <c r="C156" s="681"/>
      <c r="D156" s="681"/>
      <c r="E156" s="681"/>
      <c r="F156" s="681"/>
      <c r="G156" s="681"/>
      <c r="H156" s="681"/>
      <c r="I156" s="681"/>
      <c r="J156" s="681"/>
      <c r="K156" s="681"/>
      <c r="L156" s="681"/>
      <c r="M156" s="682"/>
      <c r="N156" s="768">
        <f>N129</f>
        <v>387.27</v>
      </c>
      <c r="O156" s="769"/>
      <c r="P156" s="770"/>
    </row>
    <row r="157" spans="1:17" ht="15.6">
      <c r="A157" s="7" t="s">
        <v>56</v>
      </c>
      <c r="B157" s="680" t="s">
        <v>564</v>
      </c>
      <c r="C157" s="681"/>
      <c r="D157" s="681"/>
      <c r="E157" s="681"/>
      <c r="F157" s="681"/>
      <c r="G157" s="681"/>
      <c r="H157" s="681"/>
      <c r="I157" s="681"/>
      <c r="J157" s="681"/>
      <c r="K157" s="681"/>
      <c r="L157" s="681"/>
      <c r="M157" s="682"/>
      <c r="N157" s="768">
        <f>N136</f>
        <v>110.03</v>
      </c>
      <c r="O157" s="769"/>
      <c r="P157" s="770"/>
    </row>
    <row r="158" spans="1:17" ht="15.6">
      <c r="A158" s="633" t="s">
        <v>565</v>
      </c>
      <c r="B158" s="634"/>
      <c r="C158" s="634"/>
      <c r="D158" s="634"/>
      <c r="E158" s="634"/>
      <c r="F158" s="634"/>
      <c r="G158" s="634"/>
      <c r="H158" s="634"/>
      <c r="I158" s="634"/>
      <c r="J158" s="634"/>
      <c r="K158" s="634"/>
      <c r="L158" s="634"/>
      <c r="M158" s="635"/>
      <c r="N158" s="765">
        <f>SUM(N153:P157)</f>
        <v>5401.7</v>
      </c>
      <c r="O158" s="766"/>
      <c r="P158" s="767"/>
    </row>
    <row r="159" spans="1:17" ht="15.6">
      <c r="A159" s="7" t="s">
        <v>58</v>
      </c>
      <c r="B159" s="680" t="s">
        <v>566</v>
      </c>
      <c r="C159" s="681"/>
      <c r="D159" s="681"/>
      <c r="E159" s="681"/>
      <c r="F159" s="681"/>
      <c r="G159" s="681"/>
      <c r="H159" s="681"/>
      <c r="I159" s="681"/>
      <c r="J159" s="681"/>
      <c r="K159" s="681"/>
      <c r="L159" s="681"/>
      <c r="M159" s="682"/>
      <c r="N159" s="768">
        <f>N147</f>
        <v>1874.07</v>
      </c>
      <c r="O159" s="769"/>
      <c r="P159" s="770"/>
    </row>
    <row r="160" spans="1:17" ht="15.6">
      <c r="A160" s="633" t="s">
        <v>567</v>
      </c>
      <c r="B160" s="634"/>
      <c r="C160" s="634"/>
      <c r="D160" s="634"/>
      <c r="E160" s="634"/>
      <c r="F160" s="634"/>
      <c r="G160" s="634"/>
      <c r="H160" s="634"/>
      <c r="I160" s="634"/>
      <c r="J160" s="634"/>
      <c r="K160" s="634"/>
      <c r="L160" s="634"/>
      <c r="M160" s="635"/>
      <c r="N160" s="765">
        <f>SUM(N158:P159)</f>
        <v>7275.77</v>
      </c>
      <c r="O160" s="766"/>
      <c r="P160" s="767"/>
    </row>
    <row r="161" spans="1:16" ht="15.6">
      <c r="A161" s="633" t="s">
        <v>568</v>
      </c>
      <c r="B161" s="634"/>
      <c r="C161" s="634"/>
      <c r="D161" s="634"/>
      <c r="E161" s="634"/>
      <c r="F161" s="634"/>
      <c r="G161" s="634"/>
      <c r="H161" s="634"/>
      <c r="I161" s="634"/>
      <c r="J161" s="634"/>
      <c r="K161" s="634"/>
      <c r="L161" s="634"/>
      <c r="M161" s="635"/>
      <c r="N161" s="665">
        <f>N160*N20</f>
        <v>7275.77</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153" sqref="N153:P157"/>
    </sheetView>
  </sheetViews>
  <sheetFormatPr defaultColWidth="9.109375" defaultRowHeight="13.2"/>
  <cols>
    <col min="16" max="16" width="10"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CÁLCULO'!B33</f>
        <v>Vitória/ES</v>
      </c>
      <c r="O12" s="740"/>
      <c r="P12" s="741"/>
    </row>
    <row r="13" spans="1:16" ht="15.6">
      <c r="A13" s="7" t="s">
        <v>30</v>
      </c>
      <c r="B13" s="680" t="s">
        <v>455</v>
      </c>
      <c r="C13" s="681"/>
      <c r="D13" s="681"/>
      <c r="E13" s="681"/>
      <c r="F13" s="681"/>
      <c r="G13" s="681"/>
      <c r="H13" s="681"/>
      <c r="I13" s="681"/>
      <c r="J13" s="681"/>
      <c r="K13" s="681"/>
      <c r="L13" s="681"/>
      <c r="M13" s="682"/>
      <c r="N13" s="739" t="str">
        <f>'BASE DE CÁLCULO'!D33</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CÁLCULO'!C33</f>
        <v>Encarregado de Manutenção</v>
      </c>
      <c r="B20" s="625"/>
      <c r="C20" s="625"/>
      <c r="D20" s="626"/>
      <c r="E20" s="751" t="s">
        <v>459</v>
      </c>
      <c r="F20" s="752"/>
      <c r="G20" s="752"/>
      <c r="H20" s="752"/>
      <c r="I20" s="752"/>
      <c r="J20" s="752"/>
      <c r="K20" s="752"/>
      <c r="L20" s="752"/>
      <c r="M20" s="753"/>
      <c r="N20" s="789">
        <f>'BASE DE CÁLCULO'!F33</f>
        <v>1</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Encarregado de Manutenção</v>
      </c>
      <c r="O30" s="740"/>
      <c r="P30" s="741"/>
    </row>
    <row r="31" spans="1:16" ht="15.6">
      <c r="A31" s="7">
        <v>2</v>
      </c>
      <c r="B31" s="680" t="s">
        <v>466</v>
      </c>
      <c r="C31" s="681"/>
      <c r="D31" s="681"/>
      <c r="E31" s="681"/>
      <c r="F31" s="681"/>
      <c r="G31" s="681"/>
      <c r="H31" s="681"/>
      <c r="I31" s="681"/>
      <c r="J31" s="681"/>
      <c r="K31" s="681"/>
      <c r="L31" s="681"/>
      <c r="M31" s="682"/>
      <c r="N31" s="781" t="s">
        <v>575</v>
      </c>
      <c r="O31" s="779"/>
      <c r="P31" s="780"/>
    </row>
    <row r="32" spans="1:16" ht="15.6">
      <c r="A32" s="7">
        <v>3</v>
      </c>
      <c r="B32" s="680" t="s">
        <v>468</v>
      </c>
      <c r="C32" s="681"/>
      <c r="D32" s="681"/>
      <c r="E32" s="681"/>
      <c r="F32" s="681"/>
      <c r="G32" s="681"/>
      <c r="H32" s="681"/>
      <c r="I32" s="681"/>
      <c r="J32" s="681"/>
      <c r="K32" s="681"/>
      <c r="L32" s="681"/>
      <c r="M32" s="682"/>
      <c r="N32" s="772">
        <f>'BASE DE CÁLCULO'!G33</f>
        <v>3288.42</v>
      </c>
      <c r="O32" s="773"/>
      <c r="P32" s="774"/>
    </row>
    <row r="33" spans="1:16" ht="15.6">
      <c r="A33" s="7">
        <v>4</v>
      </c>
      <c r="B33" s="680" t="s">
        <v>469</v>
      </c>
      <c r="C33" s="681"/>
      <c r="D33" s="681"/>
      <c r="E33" s="681"/>
      <c r="F33" s="681"/>
      <c r="G33" s="681"/>
      <c r="H33" s="681"/>
      <c r="I33" s="681"/>
      <c r="J33" s="681"/>
      <c r="K33" s="681"/>
      <c r="L33" s="681"/>
      <c r="M33" s="682"/>
      <c r="N33" s="782" t="str">
        <f>'BASE DE CÁLCULO'!E33</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3288.42</v>
      </c>
      <c r="O39" s="773"/>
      <c r="P39" s="774"/>
    </row>
    <row r="40" spans="1:16" ht="15.6">
      <c r="A40" s="7" t="s">
        <v>27</v>
      </c>
      <c r="B40" s="680" t="s">
        <v>474</v>
      </c>
      <c r="C40" s="681"/>
      <c r="D40" s="681"/>
      <c r="E40" s="681"/>
      <c r="F40" s="681"/>
      <c r="G40" s="681"/>
      <c r="H40" s="681"/>
      <c r="I40" s="681"/>
      <c r="J40" s="681"/>
      <c r="K40" s="681"/>
      <c r="L40" s="681"/>
      <c r="M40" s="682"/>
      <c r="N40" s="772">
        <f>'BASE DE CÁLCULO'!I33</f>
        <v>986.53</v>
      </c>
      <c r="O40" s="773"/>
      <c r="P40" s="774"/>
    </row>
    <row r="41" spans="1:16" ht="15.6">
      <c r="A41" s="7" t="s">
        <v>30</v>
      </c>
      <c r="B41" s="680" t="s">
        <v>475</v>
      </c>
      <c r="C41" s="681"/>
      <c r="D41" s="681"/>
      <c r="E41" s="681"/>
      <c r="F41" s="681"/>
      <c r="G41" s="681"/>
      <c r="H41" s="681"/>
      <c r="I41" s="681"/>
      <c r="J41" s="681"/>
      <c r="K41" s="681"/>
      <c r="L41" s="681"/>
      <c r="M41" s="682"/>
      <c r="N41" s="772" t="str">
        <f>'BASE DE CÁLCULO'!J33</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4274.95</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487.34</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649.79</v>
      </c>
      <c r="O53" s="773"/>
      <c r="P53" s="774"/>
    </row>
    <row r="54" spans="1:16" ht="15.6">
      <c r="A54" s="633" t="s">
        <v>480</v>
      </c>
      <c r="B54" s="634"/>
      <c r="C54" s="634"/>
      <c r="D54" s="634"/>
      <c r="E54" s="634"/>
      <c r="F54" s="634"/>
      <c r="G54" s="634"/>
      <c r="H54" s="634"/>
      <c r="I54" s="634"/>
      <c r="J54" s="634"/>
      <c r="K54" s="634"/>
      <c r="L54" s="634"/>
      <c r="M54" s="635"/>
      <c r="N54" s="775">
        <f>SUM(N52:P53)</f>
        <v>1137.1300000000001</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854.99</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106.87</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128.25</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64.12</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42.75</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25.65</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8.5500000000000007</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342</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1573.18</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CÁLCULO'!K33</f>
        <v>77.75</v>
      </c>
      <c r="O75" s="773"/>
      <c r="P75" s="774"/>
    </row>
    <row r="76" spans="1:16" ht="16.5" customHeight="1">
      <c r="A76" s="7" t="s">
        <v>27</v>
      </c>
      <c r="B76" s="680" t="s">
        <v>331</v>
      </c>
      <c r="C76" s="681"/>
      <c r="D76" s="681"/>
      <c r="E76" s="681"/>
      <c r="F76" s="681"/>
      <c r="G76" s="681"/>
      <c r="H76" s="681"/>
      <c r="I76" s="681"/>
      <c r="J76" s="681"/>
      <c r="K76" s="681"/>
      <c r="L76" s="681"/>
      <c r="M76" s="682"/>
      <c r="N76" s="772">
        <f>'BASE DE CÁLCULO'!L33</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CÁLCULO'!N33</f>
        <v>235.52</v>
      </c>
      <c r="O77" s="773"/>
      <c r="P77" s="774"/>
    </row>
    <row r="78" spans="1:16" ht="15.6">
      <c r="A78" s="7" t="s">
        <v>32</v>
      </c>
      <c r="B78" s="680" t="s">
        <v>509</v>
      </c>
      <c r="C78" s="681"/>
      <c r="D78" s="681"/>
      <c r="E78" s="681"/>
      <c r="F78" s="681"/>
      <c r="G78" s="681"/>
      <c r="H78" s="681"/>
      <c r="I78" s="681"/>
      <c r="J78" s="681"/>
      <c r="K78" s="681"/>
      <c r="L78" s="681"/>
      <c r="M78" s="682"/>
      <c r="N78" s="772">
        <f>'BASE DE CÁLCULO'!M33</f>
        <v>0</v>
      </c>
      <c r="O78" s="773"/>
      <c r="P78" s="774"/>
    </row>
    <row r="79" spans="1:16" ht="15.6">
      <c r="A79" s="7" t="s">
        <v>56</v>
      </c>
      <c r="B79" s="680" t="s">
        <v>510</v>
      </c>
      <c r="C79" s="681"/>
      <c r="D79" s="681"/>
      <c r="E79" s="681"/>
      <c r="F79" s="681"/>
      <c r="G79" s="681"/>
      <c r="H79" s="681"/>
      <c r="I79" s="681"/>
      <c r="J79" s="681"/>
      <c r="K79" s="681"/>
      <c r="L79" s="681"/>
      <c r="M79" s="682"/>
      <c r="N79" s="772">
        <f>'BASE DE CÁLCULO'!Q33</f>
        <v>25.3</v>
      </c>
      <c r="O79" s="773"/>
      <c r="P79" s="774"/>
    </row>
    <row r="80" spans="1:16" ht="15.6">
      <c r="A80" s="7" t="s">
        <v>58</v>
      </c>
      <c r="B80" s="680" t="s">
        <v>511</v>
      </c>
      <c r="C80" s="681"/>
      <c r="D80" s="681"/>
      <c r="E80" s="681"/>
      <c r="F80" s="681"/>
      <c r="G80" s="681"/>
      <c r="H80" s="681"/>
      <c r="I80" s="681"/>
      <c r="J80" s="681"/>
      <c r="K80" s="681"/>
      <c r="L80" s="681"/>
      <c r="M80" s="682"/>
      <c r="N80" s="714">
        <f>'BASE DE CÁLCULO'!S33</f>
        <v>133.72999999999999</v>
      </c>
      <c r="O80" s="715"/>
      <c r="P80" s="716"/>
    </row>
    <row r="81" spans="1:16" ht="16.2" customHeight="1">
      <c r="A81" s="7" t="s">
        <v>60</v>
      </c>
      <c r="B81" s="680" t="s">
        <v>334</v>
      </c>
      <c r="C81" s="681"/>
      <c r="D81" s="681"/>
      <c r="E81" s="681"/>
      <c r="F81" s="681"/>
      <c r="G81" s="681"/>
      <c r="H81" s="681"/>
      <c r="I81" s="681"/>
      <c r="J81" s="681"/>
      <c r="K81" s="681"/>
      <c r="L81" s="681"/>
      <c r="M81" s="682"/>
      <c r="N81" s="772">
        <f>'BASE DE CÁLCULO'!R33</f>
        <v>6.43</v>
      </c>
      <c r="O81" s="773"/>
      <c r="P81" s="774"/>
    </row>
    <row r="82" spans="1:16" ht="15.6">
      <c r="A82" s="633" t="s">
        <v>480</v>
      </c>
      <c r="B82" s="634"/>
      <c r="C82" s="634"/>
      <c r="D82" s="634"/>
      <c r="E82" s="634"/>
      <c r="F82" s="634"/>
      <c r="G82" s="634"/>
      <c r="H82" s="634"/>
      <c r="I82" s="634"/>
      <c r="J82" s="634"/>
      <c r="K82" s="634"/>
      <c r="L82" s="634"/>
      <c r="M82" s="635"/>
      <c r="N82" s="775">
        <f>SUM(N75:P81)</f>
        <v>636.84</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1137.1300000000001</v>
      </c>
      <c r="O88" s="769"/>
      <c r="P88" s="770"/>
    </row>
    <row r="89" spans="1:16" ht="15.6">
      <c r="A89" s="11" t="s">
        <v>491</v>
      </c>
      <c r="B89" s="699" t="s">
        <v>518</v>
      </c>
      <c r="C89" s="700"/>
      <c r="D89" s="700"/>
      <c r="E89" s="700"/>
      <c r="F89" s="700"/>
      <c r="G89" s="700"/>
      <c r="H89" s="700"/>
      <c r="I89" s="700"/>
      <c r="J89" s="700"/>
      <c r="K89" s="700"/>
      <c r="L89" s="700"/>
      <c r="M89" s="701"/>
      <c r="N89" s="769">
        <f>N68</f>
        <v>1573.18</v>
      </c>
      <c r="O89" s="769"/>
      <c r="P89" s="770"/>
    </row>
    <row r="90" spans="1:16" ht="15.6">
      <c r="A90" s="9" t="s">
        <v>506</v>
      </c>
      <c r="B90" s="699" t="s">
        <v>519</v>
      </c>
      <c r="C90" s="700"/>
      <c r="D90" s="700"/>
      <c r="E90" s="700"/>
      <c r="F90" s="700"/>
      <c r="G90" s="700"/>
      <c r="H90" s="700"/>
      <c r="I90" s="700"/>
      <c r="J90" s="700"/>
      <c r="K90" s="700"/>
      <c r="L90" s="700"/>
      <c r="M90" s="701"/>
      <c r="N90" s="769">
        <f>N82</f>
        <v>636.84</v>
      </c>
      <c r="O90" s="769"/>
      <c r="P90" s="770"/>
    </row>
    <row r="91" spans="1:16" ht="15.6">
      <c r="A91" s="633" t="s">
        <v>480</v>
      </c>
      <c r="B91" s="702"/>
      <c r="C91" s="702"/>
      <c r="D91" s="702"/>
      <c r="E91" s="702"/>
      <c r="F91" s="702"/>
      <c r="G91" s="702"/>
      <c r="H91" s="702"/>
      <c r="I91" s="702"/>
      <c r="J91" s="702"/>
      <c r="K91" s="702"/>
      <c r="L91" s="702"/>
      <c r="M91" s="703"/>
      <c r="N91" s="765">
        <f>SUM(N88:P90)</f>
        <v>3347.15</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17.95</v>
      </c>
      <c r="O95" s="769"/>
      <c r="P95" s="770"/>
    </row>
    <row r="96" spans="1:16" ht="15.6">
      <c r="A96" s="7" t="s">
        <v>27</v>
      </c>
      <c r="B96" s="680" t="s">
        <v>522</v>
      </c>
      <c r="C96" s="681"/>
      <c r="D96" s="681"/>
      <c r="E96" s="681"/>
      <c r="F96" s="681"/>
      <c r="G96" s="681"/>
      <c r="H96" s="681"/>
      <c r="I96" s="681"/>
      <c r="J96" s="681"/>
      <c r="K96" s="681"/>
      <c r="L96" s="681"/>
      <c r="M96" s="682"/>
      <c r="N96" s="768">
        <f>N46*'BASE DE CÁLCULO'!C89</f>
        <v>1.28</v>
      </c>
      <c r="O96" s="769"/>
      <c r="P96" s="770"/>
    </row>
    <row r="97" spans="1:16" ht="15.6">
      <c r="A97" s="7" t="s">
        <v>30</v>
      </c>
      <c r="B97" s="680" t="s">
        <v>523</v>
      </c>
      <c r="C97" s="681"/>
      <c r="D97" s="681"/>
      <c r="E97" s="681"/>
      <c r="F97" s="681"/>
      <c r="G97" s="681"/>
      <c r="H97" s="681"/>
      <c r="I97" s="681"/>
      <c r="J97" s="681"/>
      <c r="K97" s="681"/>
      <c r="L97" s="681"/>
      <c r="M97" s="682"/>
      <c r="N97" s="768">
        <f>N46*'BASE DE CÁLCULO'!C90</f>
        <v>0.43</v>
      </c>
      <c r="O97" s="769"/>
      <c r="P97" s="770"/>
    </row>
    <row r="98" spans="1:16" ht="15.6">
      <c r="A98" s="7" t="s">
        <v>32</v>
      </c>
      <c r="B98" s="680" t="s">
        <v>524</v>
      </c>
      <c r="C98" s="681"/>
      <c r="D98" s="681"/>
      <c r="E98" s="681"/>
      <c r="F98" s="681"/>
      <c r="G98" s="681"/>
      <c r="H98" s="681"/>
      <c r="I98" s="681"/>
      <c r="J98" s="681"/>
      <c r="K98" s="681"/>
      <c r="L98" s="681"/>
      <c r="M98" s="682"/>
      <c r="N98" s="768">
        <f>N46*'BASE DE CÁLCULO'!C91</f>
        <v>82.93</v>
      </c>
      <c r="O98" s="769"/>
      <c r="P98" s="770"/>
    </row>
    <row r="99" spans="1:16" ht="15.6">
      <c r="A99" s="7" t="s">
        <v>56</v>
      </c>
      <c r="B99" s="680" t="s">
        <v>525</v>
      </c>
      <c r="C99" s="681"/>
      <c r="D99" s="681"/>
      <c r="E99" s="681"/>
      <c r="F99" s="681"/>
      <c r="G99" s="681"/>
      <c r="H99" s="681"/>
      <c r="I99" s="681"/>
      <c r="J99" s="681"/>
      <c r="K99" s="681"/>
      <c r="L99" s="681"/>
      <c r="M99" s="682"/>
      <c r="N99" s="768">
        <f>N46*'BASE DE CÁLCULO'!C92</f>
        <v>30.35</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2.56</v>
      </c>
      <c r="O100" s="684"/>
      <c r="P100" s="685"/>
    </row>
    <row r="101" spans="1:16" ht="15.6">
      <c r="A101" s="633" t="s">
        <v>480</v>
      </c>
      <c r="B101" s="634"/>
      <c r="C101" s="634"/>
      <c r="D101" s="634"/>
      <c r="E101" s="634"/>
      <c r="F101" s="634"/>
      <c r="G101" s="634"/>
      <c r="H101" s="634"/>
      <c r="I101" s="634"/>
      <c r="J101" s="634"/>
      <c r="K101" s="634"/>
      <c r="L101" s="634"/>
      <c r="M101" s="635"/>
      <c r="N101" s="765">
        <f>SUM(N95:P100)</f>
        <v>135.5</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487.34</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48.73</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81.22</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1.28</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19.66</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10.26</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3.42</v>
      </c>
      <c r="O115" s="769"/>
      <c r="P115" s="770"/>
    </row>
    <row r="116" spans="1:16" ht="15.6">
      <c r="A116" s="633" t="s">
        <v>480</v>
      </c>
      <c r="B116" s="634"/>
      <c r="C116" s="634"/>
      <c r="D116" s="634"/>
      <c r="E116" s="634"/>
      <c r="F116" s="634"/>
      <c r="G116" s="634"/>
      <c r="H116" s="634"/>
      <c r="I116" s="634"/>
      <c r="J116" s="634"/>
      <c r="K116" s="634"/>
      <c r="L116" s="634"/>
      <c r="M116" s="635"/>
      <c r="N116" s="765">
        <f>SUM(N109:P115)</f>
        <v>651.91</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5.7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651.91</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651.91</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CÁLCULO'!O33</f>
        <v>209.39</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CÁLCULO'!P33</f>
        <v>16.97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226.36</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431.79</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906.77</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1075.96</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581.6</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2996.12</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4274.95</v>
      </c>
      <c r="O153" s="769"/>
      <c r="P153" s="770"/>
    </row>
    <row r="154" spans="1:17" ht="15.6">
      <c r="A154" s="7" t="s">
        <v>27</v>
      </c>
      <c r="B154" s="680" t="s">
        <v>561</v>
      </c>
      <c r="C154" s="681"/>
      <c r="D154" s="681"/>
      <c r="E154" s="681"/>
      <c r="F154" s="681"/>
      <c r="G154" s="681"/>
      <c r="H154" s="681"/>
      <c r="I154" s="681"/>
      <c r="J154" s="681"/>
      <c r="K154" s="681"/>
      <c r="L154" s="681"/>
      <c r="M154" s="682"/>
      <c r="N154" s="768">
        <f>N91</f>
        <v>3347.15</v>
      </c>
      <c r="O154" s="769"/>
      <c r="P154" s="770"/>
    </row>
    <row r="155" spans="1:17" ht="15.6">
      <c r="A155" s="7" t="s">
        <v>30</v>
      </c>
      <c r="B155" s="680" t="s">
        <v>562</v>
      </c>
      <c r="C155" s="681"/>
      <c r="D155" s="681"/>
      <c r="E155" s="681"/>
      <c r="F155" s="681"/>
      <c r="G155" s="681"/>
      <c r="H155" s="681"/>
      <c r="I155" s="681"/>
      <c r="J155" s="681"/>
      <c r="K155" s="681"/>
      <c r="L155" s="681"/>
      <c r="M155" s="682"/>
      <c r="N155" s="768">
        <f>N101</f>
        <v>135.5</v>
      </c>
      <c r="O155" s="769"/>
      <c r="P155" s="770"/>
    </row>
    <row r="156" spans="1:17" ht="15.6">
      <c r="A156" s="7" t="s">
        <v>32</v>
      </c>
      <c r="B156" s="680" t="s">
        <v>563</v>
      </c>
      <c r="C156" s="681"/>
      <c r="D156" s="681"/>
      <c r="E156" s="681"/>
      <c r="F156" s="681"/>
      <c r="G156" s="681"/>
      <c r="H156" s="681"/>
      <c r="I156" s="681"/>
      <c r="J156" s="681"/>
      <c r="K156" s="681"/>
      <c r="L156" s="681"/>
      <c r="M156" s="682"/>
      <c r="N156" s="768">
        <f>N129</f>
        <v>651.91</v>
      </c>
      <c r="O156" s="769"/>
      <c r="P156" s="770"/>
    </row>
    <row r="157" spans="1:17" ht="15.6">
      <c r="A157" s="7" t="s">
        <v>56</v>
      </c>
      <c r="B157" s="680" t="s">
        <v>564</v>
      </c>
      <c r="C157" s="681"/>
      <c r="D157" s="681"/>
      <c r="E157" s="681"/>
      <c r="F157" s="681"/>
      <c r="G157" s="681"/>
      <c r="H157" s="681"/>
      <c r="I157" s="681"/>
      <c r="J157" s="681"/>
      <c r="K157" s="681"/>
      <c r="L157" s="681"/>
      <c r="M157" s="682"/>
      <c r="N157" s="768">
        <f>N136</f>
        <v>226.36</v>
      </c>
      <c r="O157" s="769"/>
      <c r="P157" s="770"/>
    </row>
    <row r="158" spans="1:17" ht="15.6">
      <c r="A158" s="633" t="s">
        <v>565</v>
      </c>
      <c r="B158" s="634"/>
      <c r="C158" s="634"/>
      <c r="D158" s="634"/>
      <c r="E158" s="634"/>
      <c r="F158" s="634"/>
      <c r="G158" s="634"/>
      <c r="H158" s="634"/>
      <c r="I158" s="634"/>
      <c r="J158" s="634"/>
      <c r="K158" s="634"/>
      <c r="L158" s="634"/>
      <c r="M158" s="635"/>
      <c r="N158" s="765">
        <f>SUM(N153:P157)</f>
        <v>8635.8700000000008</v>
      </c>
      <c r="O158" s="766"/>
      <c r="P158" s="767"/>
    </row>
    <row r="159" spans="1:17" ht="15.6">
      <c r="A159" s="7" t="s">
        <v>58</v>
      </c>
      <c r="B159" s="680" t="s">
        <v>566</v>
      </c>
      <c r="C159" s="681"/>
      <c r="D159" s="681"/>
      <c r="E159" s="681"/>
      <c r="F159" s="681"/>
      <c r="G159" s="681"/>
      <c r="H159" s="681"/>
      <c r="I159" s="681"/>
      <c r="J159" s="681"/>
      <c r="K159" s="681"/>
      <c r="L159" s="681"/>
      <c r="M159" s="682"/>
      <c r="N159" s="768">
        <f>N147</f>
        <v>2996.12</v>
      </c>
      <c r="O159" s="769"/>
      <c r="P159" s="770"/>
    </row>
    <row r="160" spans="1:17" ht="15.6">
      <c r="A160" s="633" t="s">
        <v>567</v>
      </c>
      <c r="B160" s="634"/>
      <c r="C160" s="634"/>
      <c r="D160" s="634"/>
      <c r="E160" s="634"/>
      <c r="F160" s="634"/>
      <c r="G160" s="634"/>
      <c r="H160" s="634"/>
      <c r="I160" s="634"/>
      <c r="J160" s="634"/>
      <c r="K160" s="634"/>
      <c r="L160" s="634"/>
      <c r="M160" s="635"/>
      <c r="N160" s="765">
        <f>SUM(N158:P159)</f>
        <v>11631.99</v>
      </c>
      <c r="O160" s="766"/>
      <c r="P160" s="767"/>
    </row>
    <row r="161" spans="1:16" ht="15.6">
      <c r="A161" s="633" t="s">
        <v>568</v>
      </c>
      <c r="B161" s="634"/>
      <c r="C161" s="634"/>
      <c r="D161" s="634"/>
      <c r="E161" s="634"/>
      <c r="F161" s="634"/>
      <c r="G161" s="634"/>
      <c r="H161" s="634"/>
      <c r="I161" s="634"/>
      <c r="J161" s="634"/>
      <c r="K161" s="634"/>
      <c r="L161" s="634"/>
      <c r="M161" s="635"/>
      <c r="N161" s="665">
        <f>N160*N20</f>
        <v>11631.99</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sheetPr>
  <dimension ref="A1:G241"/>
  <sheetViews>
    <sheetView view="pageBreakPreview" topLeftCell="A130" zoomScaleNormal="100" workbookViewId="0">
      <selection activeCell="D51" sqref="D51:E51"/>
    </sheetView>
  </sheetViews>
  <sheetFormatPr defaultColWidth="9.109375" defaultRowHeight="13.2"/>
  <cols>
    <col min="1" max="1" width="18.5546875" style="380" customWidth="1"/>
    <col min="2" max="2" width="58.109375" customWidth="1"/>
    <col min="3" max="3" width="15.44140625" customWidth="1"/>
    <col min="4" max="4" width="14.33203125" customWidth="1"/>
    <col min="5" max="5" width="20.6640625" customWidth="1"/>
    <col min="6" max="6" width="13.33203125" bestFit="1" customWidth="1"/>
  </cols>
  <sheetData>
    <row r="1" spans="1:6" ht="15.9" customHeight="1">
      <c r="A1" s="539" t="s">
        <v>20</v>
      </c>
      <c r="B1" s="539"/>
      <c r="C1" s="539"/>
      <c r="D1" s="539"/>
      <c r="E1" s="539"/>
      <c r="F1" s="423">
        <v>25</v>
      </c>
    </row>
    <row r="2" spans="1:6" ht="6" customHeight="1">
      <c r="A2" s="382"/>
      <c r="B2" s="342"/>
      <c r="C2" s="342"/>
      <c r="D2" s="342"/>
      <c r="E2" s="342"/>
    </row>
    <row r="3" spans="1:6" ht="15.9" customHeight="1">
      <c r="A3" s="539" t="s">
        <v>21</v>
      </c>
      <c r="B3" s="539"/>
      <c r="C3" s="539"/>
      <c r="D3" s="539"/>
      <c r="E3" s="539"/>
    </row>
    <row r="4" spans="1:6" ht="15.9" customHeight="1">
      <c r="A4" s="414"/>
      <c r="B4" s="420" t="s">
        <v>22</v>
      </c>
      <c r="C4" s="540" t="str">
        <f>'BASE DE CÁLCULO'!C1</f>
        <v>23068.000864/2022-66</v>
      </c>
      <c r="D4" s="541"/>
      <c r="E4" s="542"/>
    </row>
    <row r="5" spans="1:6" ht="15.9" customHeight="1">
      <c r="A5" s="414"/>
      <c r="B5" s="420" t="s">
        <v>23</v>
      </c>
      <c r="C5" s="543" t="e">
        <f>'BASE DE CÁLCULO'!#REF!</f>
        <v>#REF!</v>
      </c>
      <c r="D5" s="515"/>
      <c r="E5" s="535"/>
    </row>
    <row r="6" spans="1:6" ht="15.9" customHeight="1">
      <c r="A6" s="382" t="e">
        <f>'BASE DE CÁLCULO'!#REF!</f>
        <v>#REF!</v>
      </c>
      <c r="B6" s="342"/>
      <c r="C6" s="342"/>
      <c r="D6" s="342"/>
      <c r="E6" s="342"/>
    </row>
    <row r="7" spans="1:6" ht="15.9" customHeight="1">
      <c r="A7" s="382"/>
      <c r="B7" s="342"/>
      <c r="C7" s="342"/>
      <c r="D7" s="342"/>
      <c r="E7" s="342"/>
    </row>
    <row r="8" spans="1:6" ht="15.9" customHeight="1">
      <c r="A8" s="382" t="s">
        <v>24</v>
      </c>
      <c r="B8" s="342"/>
      <c r="C8" s="342"/>
      <c r="D8" s="342"/>
      <c r="E8" s="342"/>
    </row>
    <row r="9" spans="1:6" ht="15.9" customHeight="1">
      <c r="A9" s="414" t="s">
        <v>25</v>
      </c>
      <c r="B9" s="420" t="s">
        <v>26</v>
      </c>
      <c r="C9" s="544" t="e">
        <f>'BASE DE CÁLCULO'!#REF!</f>
        <v>#REF!</v>
      </c>
      <c r="D9" s="545"/>
      <c r="E9" s="546"/>
    </row>
    <row r="10" spans="1:6" ht="15.9" customHeight="1">
      <c r="A10" s="414" t="s">
        <v>27</v>
      </c>
      <c r="B10" s="420" t="s">
        <v>28</v>
      </c>
      <c r="C10" s="547" t="s">
        <v>29</v>
      </c>
      <c r="D10" s="548"/>
      <c r="E10" s="549"/>
    </row>
    <row r="11" spans="1:6" ht="15.9" customHeight="1">
      <c r="A11" s="414" t="s">
        <v>30</v>
      </c>
      <c r="B11" s="420" t="s">
        <v>31</v>
      </c>
      <c r="C11" s="514" t="s">
        <v>29</v>
      </c>
      <c r="D11" s="515"/>
      <c r="E11" s="535"/>
    </row>
    <row r="12" spans="1:6" ht="15.9" customHeight="1">
      <c r="A12" s="414" t="s">
        <v>32</v>
      </c>
      <c r="B12" s="420" t="s">
        <v>33</v>
      </c>
      <c r="C12" s="536">
        <f>'BASE DE CÁLCULO'!C3</f>
        <v>12</v>
      </c>
      <c r="D12" s="515"/>
      <c r="E12" s="535"/>
    </row>
    <row r="13" spans="1:6" ht="15.9" customHeight="1">
      <c r="A13" s="382"/>
      <c r="B13" s="342"/>
      <c r="C13" s="342"/>
      <c r="D13" s="342"/>
      <c r="E13" s="342"/>
    </row>
    <row r="14" spans="1:6" ht="15.9" customHeight="1">
      <c r="A14" s="382" t="s">
        <v>34</v>
      </c>
      <c r="B14" s="342"/>
      <c r="C14" s="342"/>
      <c r="D14" s="342"/>
      <c r="E14" s="342"/>
    </row>
    <row r="15" spans="1:6" ht="39" customHeight="1">
      <c r="A15" s="424" t="s">
        <v>35</v>
      </c>
      <c r="B15" s="537" t="s">
        <v>36</v>
      </c>
      <c r="C15" s="538"/>
      <c r="D15" s="511" t="s">
        <v>37</v>
      </c>
      <c r="E15" s="497"/>
    </row>
    <row r="16" spans="1:6" ht="15.9" customHeight="1">
      <c r="A16" s="357" t="e">
        <f>VLOOKUP(F1,BS,2)</f>
        <v>#N/A</v>
      </c>
      <c r="B16" s="532" t="e">
        <f>VLOOKUP(F1,BS,25)</f>
        <v>#N/A</v>
      </c>
      <c r="C16" s="499"/>
      <c r="D16" s="532" t="e">
        <f>SUM(#REF!)</f>
        <v>#REF!</v>
      </c>
      <c r="E16" s="499"/>
    </row>
    <row r="17" spans="1:5" ht="15.9" customHeight="1">
      <c r="A17" s="357"/>
      <c r="B17" s="532"/>
      <c r="C17" s="499"/>
      <c r="D17" s="532"/>
      <c r="E17" s="499"/>
    </row>
    <row r="18" spans="1:5" ht="15.9" customHeight="1">
      <c r="A18" s="357"/>
      <c r="B18" s="532"/>
      <c r="C18" s="499"/>
      <c r="D18" s="532"/>
      <c r="E18" s="499"/>
    </row>
    <row r="19" spans="1:5" ht="23.4" customHeight="1">
      <c r="A19" s="533" t="s">
        <v>38</v>
      </c>
      <c r="B19" s="533"/>
      <c r="C19" s="533"/>
      <c r="D19" s="533"/>
      <c r="E19" s="533"/>
    </row>
    <row r="20" spans="1:5" ht="23.4" customHeight="1">
      <c r="A20" s="534" t="s">
        <v>39</v>
      </c>
      <c r="B20" s="534"/>
      <c r="C20" s="534"/>
      <c r="D20" s="534"/>
      <c r="E20" s="534"/>
    </row>
    <row r="21" spans="1:5" ht="15.9" customHeight="1">
      <c r="A21" s="381"/>
      <c r="B21" s="342"/>
      <c r="C21" s="342"/>
      <c r="D21" s="342"/>
      <c r="E21" s="342"/>
    </row>
    <row r="22" spans="1:5" ht="15.9" customHeight="1">
      <c r="A22" s="527" t="s">
        <v>40</v>
      </c>
      <c r="B22" s="527"/>
      <c r="C22" s="527"/>
      <c r="D22" s="527"/>
      <c r="E22" s="527"/>
    </row>
    <row r="23" spans="1:5" ht="7.5" customHeight="1">
      <c r="A23" s="381"/>
      <c r="B23" s="342"/>
      <c r="C23" s="342"/>
      <c r="D23" s="342"/>
      <c r="E23" s="342"/>
    </row>
    <row r="24" spans="1:5" ht="15.9" customHeight="1">
      <c r="A24" s="425" t="s">
        <v>41</v>
      </c>
      <c r="B24" s="342"/>
      <c r="C24" s="342"/>
      <c r="D24" s="342"/>
      <c r="E24" s="342"/>
    </row>
    <row r="25" spans="1:5" ht="15.9" customHeight="1">
      <c r="A25" s="528" t="s">
        <v>42</v>
      </c>
      <c r="B25" s="528"/>
      <c r="C25" s="528"/>
      <c r="D25" s="528"/>
      <c r="E25" s="528"/>
    </row>
    <row r="26" spans="1:5" ht="15.9" customHeight="1">
      <c r="A26" s="357">
        <v>1</v>
      </c>
      <c r="B26" s="356" t="s">
        <v>43</v>
      </c>
      <c r="C26" s="529" t="s">
        <v>44</v>
      </c>
      <c r="D26" s="529"/>
      <c r="E26" s="529"/>
    </row>
    <row r="27" spans="1:5" ht="15.9" customHeight="1">
      <c r="A27" s="357">
        <v>2</v>
      </c>
      <c r="B27" s="356" t="s">
        <v>45</v>
      </c>
      <c r="C27" s="530"/>
      <c r="D27" s="530"/>
      <c r="E27" s="530"/>
    </row>
    <row r="28" spans="1:5" ht="15.9" customHeight="1">
      <c r="A28" s="357">
        <v>3</v>
      </c>
      <c r="B28" s="356" t="s">
        <v>46</v>
      </c>
      <c r="C28" s="529" t="s">
        <v>44</v>
      </c>
      <c r="D28" s="529"/>
      <c r="E28" s="529"/>
    </row>
    <row r="29" spans="1:5" ht="15.9" customHeight="1">
      <c r="A29" s="357">
        <v>4</v>
      </c>
      <c r="B29" s="356" t="s">
        <v>47</v>
      </c>
      <c r="C29" s="531" t="e">
        <f>VLOOKUP(F1,BS,7)</f>
        <v>#N/A</v>
      </c>
      <c r="D29" s="531"/>
      <c r="E29" s="531"/>
    </row>
    <row r="30" spans="1:5" ht="15.9" customHeight="1">
      <c r="A30" s="382" t="s">
        <v>48</v>
      </c>
      <c r="B30" s="342"/>
      <c r="C30" s="342"/>
      <c r="D30" s="342"/>
      <c r="E30" s="342"/>
    </row>
    <row r="31" spans="1:5" ht="15.9" customHeight="1">
      <c r="A31" s="381"/>
      <c r="B31" s="342"/>
      <c r="C31" s="342"/>
      <c r="D31" s="342"/>
      <c r="E31" s="342"/>
    </row>
    <row r="32" spans="1:5" ht="15.9" customHeight="1">
      <c r="A32" s="404" t="s">
        <v>49</v>
      </c>
      <c r="B32" s="342"/>
      <c r="C32" s="342"/>
      <c r="D32" s="342"/>
      <c r="E32" s="342"/>
    </row>
    <row r="33" spans="1:5" ht="15.9" customHeight="1">
      <c r="A33" s="426">
        <v>1</v>
      </c>
      <c r="B33" s="525" t="s">
        <v>50</v>
      </c>
      <c r="C33" s="525"/>
      <c r="D33" s="526" t="s">
        <v>51</v>
      </c>
      <c r="E33" s="526"/>
    </row>
    <row r="34" spans="1:5" ht="15.9" customHeight="1">
      <c r="A34" s="357" t="s">
        <v>25</v>
      </c>
      <c r="B34" s="427" t="s">
        <v>52</v>
      </c>
      <c r="C34" s="428"/>
      <c r="D34" s="505" t="e">
        <f>SUM(#REF!)</f>
        <v>#REF!</v>
      </c>
      <c r="E34" s="505"/>
    </row>
    <row r="35" spans="1:5" ht="15.9" customHeight="1">
      <c r="A35" s="357" t="s">
        <v>27</v>
      </c>
      <c r="B35" s="427" t="s">
        <v>53</v>
      </c>
      <c r="C35" s="428"/>
      <c r="D35" s="505" t="e">
        <f>SUM(#REF!)</f>
        <v>#REF!</v>
      </c>
      <c r="E35" s="505"/>
    </row>
    <row r="36" spans="1:5" ht="15.9" customHeight="1">
      <c r="A36" s="357" t="s">
        <v>30</v>
      </c>
      <c r="B36" s="427" t="s">
        <v>54</v>
      </c>
      <c r="C36" s="428"/>
      <c r="D36" s="505" t="e">
        <f>SUM(#REF!)</f>
        <v>#REF!</v>
      </c>
      <c r="E36" s="505"/>
    </row>
    <row r="37" spans="1:5" ht="15.9" customHeight="1">
      <c r="A37" s="357" t="s">
        <v>32</v>
      </c>
      <c r="B37" s="427" t="s">
        <v>55</v>
      </c>
      <c r="C37" s="428"/>
      <c r="D37" s="505" t="e">
        <f>SUM(#REF!)</f>
        <v>#REF!</v>
      </c>
      <c r="E37" s="505"/>
    </row>
    <row r="38" spans="1:5" ht="15.9" customHeight="1">
      <c r="A38" s="357" t="s">
        <v>56</v>
      </c>
      <c r="B38" s="429" t="s">
        <v>57</v>
      </c>
      <c r="C38" s="430"/>
      <c r="D38" s="505" t="e">
        <f>SUM(#REF!)</f>
        <v>#REF!</v>
      </c>
      <c r="E38" s="505"/>
    </row>
    <row r="39" spans="1:5" ht="15.9" customHeight="1">
      <c r="A39" s="357" t="s">
        <v>58</v>
      </c>
      <c r="B39" s="429" t="s">
        <v>59</v>
      </c>
      <c r="C39" s="430"/>
      <c r="D39" s="505" t="e">
        <f>SUM(#REF!)</f>
        <v>#REF!</v>
      </c>
      <c r="E39" s="505"/>
    </row>
    <row r="40" spans="1:5" ht="15.9" customHeight="1">
      <c r="A40" s="357" t="s">
        <v>60</v>
      </c>
      <c r="B40" s="429" t="s">
        <v>61</v>
      </c>
      <c r="C40" s="430"/>
      <c r="D40" s="505" t="e">
        <f>SUM(#REF!)</f>
        <v>#REF!</v>
      </c>
      <c r="E40" s="505"/>
    </row>
    <row r="41" spans="1:5" ht="15.9" customHeight="1">
      <c r="A41" s="357" t="s">
        <v>62</v>
      </c>
      <c r="B41" s="429" t="s">
        <v>63</v>
      </c>
      <c r="C41" s="430"/>
      <c r="D41" s="505" t="e">
        <f>SUM(#REF!)</f>
        <v>#REF!</v>
      </c>
      <c r="E41" s="505"/>
    </row>
    <row r="42" spans="1:5" ht="15.9" customHeight="1">
      <c r="A42" s="362"/>
      <c r="B42" s="431" t="s">
        <v>64</v>
      </c>
      <c r="C42" s="432"/>
      <c r="D42" s="522" t="e">
        <f>SUM(D34:E41)</f>
        <v>#REF!</v>
      </c>
      <c r="E42" s="522"/>
    </row>
    <row r="43" spans="1:5" ht="15.9" customHeight="1">
      <c r="A43" s="382"/>
      <c r="B43" s="342"/>
      <c r="C43" s="342"/>
      <c r="D43" s="342"/>
      <c r="E43" s="342"/>
    </row>
    <row r="44" spans="1:5" ht="15.9" customHeight="1">
      <c r="A44" s="404" t="s">
        <v>65</v>
      </c>
      <c r="B44" s="342"/>
      <c r="C44" s="342"/>
      <c r="D44" s="342"/>
      <c r="E44" s="342"/>
    </row>
    <row r="45" spans="1:5" ht="15.9" customHeight="1">
      <c r="A45" s="426">
        <v>2</v>
      </c>
      <c r="B45" s="433" t="s">
        <v>66</v>
      </c>
      <c r="C45" s="434"/>
      <c r="D45" s="518" t="s">
        <v>51</v>
      </c>
      <c r="E45" s="518"/>
    </row>
    <row r="46" spans="1:5" ht="15.9" customHeight="1">
      <c r="A46" s="357" t="s">
        <v>25</v>
      </c>
      <c r="B46" s="427" t="s">
        <v>67</v>
      </c>
      <c r="C46" s="428"/>
      <c r="D46" s="505" t="e">
        <f>SUM(#REF!)</f>
        <v>#REF!</v>
      </c>
      <c r="E46" s="505"/>
    </row>
    <row r="47" spans="1:5" ht="15.9" customHeight="1">
      <c r="A47" s="357" t="s">
        <v>27</v>
      </c>
      <c r="B47" s="427" t="s">
        <v>68</v>
      </c>
      <c r="C47" s="428"/>
      <c r="D47" s="505" t="e">
        <f>SUM(#REF!)</f>
        <v>#REF!</v>
      </c>
      <c r="E47" s="505"/>
    </row>
    <row r="48" spans="1:5" ht="15.9" customHeight="1">
      <c r="A48" s="357" t="s">
        <v>30</v>
      </c>
      <c r="B48" s="427" t="s">
        <v>69</v>
      </c>
      <c r="C48" s="428"/>
      <c r="D48" s="505" t="e">
        <f>SUM(#REF!)</f>
        <v>#REF!</v>
      </c>
      <c r="E48" s="505"/>
    </row>
    <row r="49" spans="1:5" ht="15.9" customHeight="1">
      <c r="A49" s="357" t="s">
        <v>32</v>
      </c>
      <c r="B49" s="427" t="s">
        <v>70</v>
      </c>
      <c r="C49" s="428"/>
      <c r="D49" s="523" t="e">
        <f>SUM(#REF!)</f>
        <v>#REF!</v>
      </c>
      <c r="E49" s="524"/>
    </row>
    <row r="50" spans="1:5" ht="15.9" customHeight="1">
      <c r="A50" s="357" t="s">
        <v>56</v>
      </c>
      <c r="B50" s="427" t="s">
        <v>71</v>
      </c>
      <c r="C50" s="428"/>
      <c r="D50" s="505" t="e">
        <f>SUM(#REF!)</f>
        <v>#REF!</v>
      </c>
      <c r="E50" s="505"/>
    </row>
    <row r="51" spans="1:5" ht="15.9" customHeight="1">
      <c r="A51" s="357" t="s">
        <v>58</v>
      </c>
      <c r="B51" s="427" t="s">
        <v>72</v>
      </c>
      <c r="C51" s="428"/>
      <c r="D51" s="505" t="e">
        <f>SUM(#REF!)</f>
        <v>#REF!</v>
      </c>
      <c r="E51" s="505"/>
    </row>
    <row r="52" spans="1:5" ht="15.9" customHeight="1">
      <c r="A52" s="357" t="s">
        <v>60</v>
      </c>
      <c r="B52" s="427" t="s">
        <v>73</v>
      </c>
      <c r="C52" s="428"/>
      <c r="D52" s="505" t="e">
        <f>SUM(#REF!)</f>
        <v>#REF!</v>
      </c>
      <c r="E52" s="505"/>
    </row>
    <row r="53" spans="1:5" ht="15.9" customHeight="1">
      <c r="A53" s="435"/>
      <c r="B53" s="431" t="s">
        <v>74</v>
      </c>
      <c r="C53" s="432"/>
      <c r="D53" s="522" t="e">
        <f>SUM(D46:E52)</f>
        <v>#REF!</v>
      </c>
      <c r="E53" s="522"/>
    </row>
    <row r="54" spans="1:5" ht="15.9" customHeight="1">
      <c r="A54" s="382" t="s">
        <v>75</v>
      </c>
      <c r="B54" s="342"/>
      <c r="C54" s="342"/>
      <c r="D54" s="342"/>
      <c r="E54" s="342"/>
    </row>
    <row r="55" spans="1:5" ht="6.75" customHeight="1">
      <c r="A55" s="382"/>
      <c r="B55" s="342"/>
      <c r="C55" s="342"/>
      <c r="D55" s="342"/>
      <c r="E55" s="342"/>
    </row>
    <row r="56" spans="1:5" ht="15.9" customHeight="1">
      <c r="A56" s="404" t="s">
        <v>76</v>
      </c>
      <c r="B56" s="342"/>
      <c r="C56" s="342"/>
      <c r="D56" s="342"/>
      <c r="E56" s="342"/>
    </row>
    <row r="57" spans="1:5" ht="15.9" customHeight="1">
      <c r="A57" s="436">
        <v>3</v>
      </c>
      <c r="B57" s="437" t="s">
        <v>77</v>
      </c>
      <c r="C57" s="438"/>
      <c r="D57" s="518" t="s">
        <v>51</v>
      </c>
      <c r="E57" s="518"/>
    </row>
    <row r="58" spans="1:5" ht="15.9" customHeight="1">
      <c r="A58" s="357" t="s">
        <v>25</v>
      </c>
      <c r="B58" s="439" t="s">
        <v>78</v>
      </c>
      <c r="C58" s="440"/>
      <c r="D58" s="521" t="e">
        <f>SUM(#REF!)</f>
        <v>#REF!</v>
      </c>
      <c r="E58" s="521"/>
    </row>
    <row r="59" spans="1:5" ht="15.9" customHeight="1">
      <c r="A59" s="357" t="s">
        <v>27</v>
      </c>
      <c r="B59" s="439" t="s">
        <v>79</v>
      </c>
      <c r="C59" s="440"/>
      <c r="D59" s="521" t="e">
        <f>SUM(#REF!)</f>
        <v>#REF!</v>
      </c>
      <c r="E59" s="521"/>
    </row>
    <row r="60" spans="1:5" ht="15.9" customHeight="1">
      <c r="A60" s="357" t="s">
        <v>30</v>
      </c>
      <c r="B60" s="439" t="s">
        <v>80</v>
      </c>
      <c r="C60" s="440"/>
      <c r="D60" s="521" t="e">
        <f>SUM(#REF!)</f>
        <v>#REF!</v>
      </c>
      <c r="E60" s="521"/>
    </row>
    <row r="61" spans="1:5" ht="15.9" customHeight="1">
      <c r="A61" s="357" t="s">
        <v>32</v>
      </c>
      <c r="B61" s="439" t="s">
        <v>63</v>
      </c>
      <c r="C61" s="440"/>
      <c r="D61" s="521" t="e">
        <f>SUM(#REF!)</f>
        <v>#REF!</v>
      </c>
      <c r="E61" s="521"/>
    </row>
    <row r="62" spans="1:5" ht="15.9" customHeight="1">
      <c r="A62" s="362"/>
      <c r="B62" s="431" t="s">
        <v>81</v>
      </c>
      <c r="C62" s="432"/>
      <c r="D62" s="522" t="e">
        <f>SUM(D58:E61)</f>
        <v>#REF!</v>
      </c>
      <c r="E62" s="522"/>
    </row>
    <row r="63" spans="1:5" ht="15.9" customHeight="1">
      <c r="A63" s="382" t="s">
        <v>82</v>
      </c>
      <c r="B63" s="342"/>
      <c r="C63" s="342"/>
      <c r="D63" s="342"/>
      <c r="E63" s="342"/>
    </row>
    <row r="64" spans="1:5" ht="15.9" customHeight="1">
      <c r="A64" s="381"/>
      <c r="B64" s="342"/>
      <c r="C64" s="342"/>
      <c r="D64" s="342"/>
      <c r="E64" s="342"/>
    </row>
    <row r="65" spans="1:5" ht="15.9" customHeight="1">
      <c r="A65" s="404" t="s">
        <v>83</v>
      </c>
      <c r="B65" s="342"/>
      <c r="C65" s="342"/>
      <c r="D65" s="342"/>
      <c r="E65" s="342"/>
    </row>
    <row r="66" spans="1:5" ht="9.75" customHeight="1">
      <c r="A66" s="404"/>
      <c r="B66" s="342"/>
      <c r="C66" s="342"/>
      <c r="D66" s="342"/>
      <c r="E66" s="342"/>
    </row>
    <row r="67" spans="1:5" ht="15.9" customHeight="1">
      <c r="A67" s="404" t="s">
        <v>84</v>
      </c>
      <c r="B67" s="342"/>
      <c r="C67" s="342"/>
      <c r="D67" s="342"/>
      <c r="E67" s="342"/>
    </row>
    <row r="68" spans="1:5" ht="15.9" customHeight="1">
      <c r="A68" s="441" t="s">
        <v>85</v>
      </c>
      <c r="B68" s="442" t="s">
        <v>86</v>
      </c>
      <c r="C68" s="443"/>
      <c r="D68" s="444" t="s">
        <v>87</v>
      </c>
      <c r="E68" s="444" t="s">
        <v>51</v>
      </c>
    </row>
    <row r="69" spans="1:5" ht="15.9" customHeight="1">
      <c r="A69" s="357" t="s">
        <v>25</v>
      </c>
      <c r="B69" s="429" t="s">
        <v>88</v>
      </c>
      <c r="C69" s="430"/>
      <c r="D69" s="445">
        <f>'BASE DE CÁLCULO'!C76</f>
        <v>0.2</v>
      </c>
      <c r="E69" s="446" t="e">
        <f>SUM(#REF!)</f>
        <v>#REF!</v>
      </c>
    </row>
    <row r="70" spans="1:5" ht="15.9" customHeight="1">
      <c r="A70" s="357" t="s">
        <v>27</v>
      </c>
      <c r="B70" s="429" t="s">
        <v>89</v>
      </c>
      <c r="C70" s="430"/>
      <c r="D70" s="445">
        <f>'BASE DE CÁLCULO'!C77</f>
        <v>1.4999999999999999E-2</v>
      </c>
      <c r="E70" s="446" t="e">
        <f>SUM(#REF!)</f>
        <v>#REF!</v>
      </c>
    </row>
    <row r="71" spans="1:5" ht="15.9" customHeight="1">
      <c r="A71" s="357" t="s">
        <v>30</v>
      </c>
      <c r="B71" s="429" t="s">
        <v>90</v>
      </c>
      <c r="C71" s="430"/>
      <c r="D71" s="445">
        <f>'BASE DE CÁLCULO'!C78</f>
        <v>0.01</v>
      </c>
      <c r="E71" s="446" t="e">
        <f>SUM(#REF!)</f>
        <v>#REF!</v>
      </c>
    </row>
    <row r="72" spans="1:5" ht="15.9" customHeight="1">
      <c r="A72" s="357" t="s">
        <v>32</v>
      </c>
      <c r="B72" s="429" t="s">
        <v>91</v>
      </c>
      <c r="C72" s="430"/>
      <c r="D72" s="445">
        <f>'BASE DE CÁLCULO'!C79</f>
        <v>2E-3</v>
      </c>
      <c r="E72" s="446" t="e">
        <f>SUM(#REF!)</f>
        <v>#REF!</v>
      </c>
    </row>
    <row r="73" spans="1:5" ht="15.9" customHeight="1">
      <c r="A73" s="357" t="s">
        <v>56</v>
      </c>
      <c r="B73" s="429" t="s">
        <v>92</v>
      </c>
      <c r="C73" s="430"/>
      <c r="D73" s="445">
        <f>'BASE DE CÁLCULO'!C80</f>
        <v>2.5000000000000001E-2</v>
      </c>
      <c r="E73" s="446" t="e">
        <f>SUM(#REF!)</f>
        <v>#REF!</v>
      </c>
    </row>
    <row r="74" spans="1:5" ht="15.9" customHeight="1">
      <c r="A74" s="357" t="s">
        <v>58</v>
      </c>
      <c r="B74" s="429" t="s">
        <v>93</v>
      </c>
      <c r="C74" s="430"/>
      <c r="D74" s="445">
        <f>'BASE DE CÁLCULO'!C81</f>
        <v>0.08</v>
      </c>
      <c r="E74" s="446" t="e">
        <f>SUM(#REF!)</f>
        <v>#REF!</v>
      </c>
    </row>
    <row r="75" spans="1:5" ht="15.9" customHeight="1">
      <c r="A75" s="357" t="s">
        <v>60</v>
      </c>
      <c r="B75" s="429" t="s">
        <v>94</v>
      </c>
      <c r="C75" s="430"/>
      <c r="D75" s="445">
        <f>'BASE DE CÁLCULO'!C82</f>
        <v>0.03</v>
      </c>
      <c r="E75" s="446" t="e">
        <f>SUM(#REF!)</f>
        <v>#REF!</v>
      </c>
    </row>
    <row r="76" spans="1:5" ht="15.9" customHeight="1">
      <c r="A76" s="357" t="s">
        <v>62</v>
      </c>
      <c r="B76" s="429" t="s">
        <v>95</v>
      </c>
      <c r="C76" s="430"/>
      <c r="D76" s="445">
        <f>'BASE DE CÁLCULO'!C83</f>
        <v>6.0000000000000001E-3</v>
      </c>
      <c r="E76" s="446" t="e">
        <f>SUM(#REF!)</f>
        <v>#REF!</v>
      </c>
    </row>
    <row r="77" spans="1:5" ht="15.9" customHeight="1">
      <c r="A77" s="506" t="s">
        <v>19</v>
      </c>
      <c r="B77" s="507"/>
      <c r="C77" s="432"/>
      <c r="D77" s="447">
        <f>SUM(D69:D76)</f>
        <v>0.36799999999999999</v>
      </c>
      <c r="E77" s="448" t="e">
        <f>SUM(E69:E76)</f>
        <v>#REF!</v>
      </c>
    </row>
    <row r="78" spans="1:5" ht="15.9" customHeight="1">
      <c r="A78" s="382" t="s">
        <v>96</v>
      </c>
      <c r="B78" s="342"/>
      <c r="C78" s="342"/>
      <c r="D78" s="342"/>
      <c r="E78" s="342"/>
    </row>
    <row r="79" spans="1:5" ht="15.9" customHeight="1">
      <c r="A79" s="382" t="s">
        <v>97</v>
      </c>
      <c r="B79" s="342"/>
      <c r="C79" s="342"/>
      <c r="D79" s="342"/>
      <c r="E79" s="342"/>
    </row>
    <row r="80" spans="1:5" ht="15.9" customHeight="1">
      <c r="A80" s="382"/>
      <c r="B80" s="342"/>
      <c r="C80" s="342"/>
      <c r="D80" s="342"/>
      <c r="E80" s="342"/>
    </row>
    <row r="81" spans="1:5" ht="15.9" customHeight="1">
      <c r="A81" s="404" t="s">
        <v>98</v>
      </c>
      <c r="B81" s="342"/>
      <c r="C81" s="342"/>
      <c r="D81" s="342"/>
      <c r="E81" s="342"/>
    </row>
    <row r="82" spans="1:5" ht="15.9" customHeight="1">
      <c r="A82" s="449" t="s">
        <v>99</v>
      </c>
      <c r="B82" s="450" t="s">
        <v>100</v>
      </c>
      <c r="C82" s="443"/>
      <c r="D82" s="519" t="s">
        <v>51</v>
      </c>
      <c r="E82" s="519"/>
    </row>
    <row r="83" spans="1:5" ht="15.9" customHeight="1">
      <c r="A83" s="414" t="s">
        <v>25</v>
      </c>
      <c r="B83" s="429" t="s">
        <v>101</v>
      </c>
      <c r="C83" s="451">
        <f>'BASE DE CÁLCULO'!C85</f>
        <v>0.114</v>
      </c>
      <c r="D83" s="521" t="e">
        <f>SUM(#REF!)</f>
        <v>#REF!</v>
      </c>
      <c r="E83" s="521"/>
    </row>
    <row r="84" spans="1:5" ht="15.9" customHeight="1">
      <c r="A84" s="414" t="s">
        <v>27</v>
      </c>
      <c r="B84" s="429" t="s">
        <v>102</v>
      </c>
      <c r="C84" s="451">
        <f>'BASE DE CÁLCULO'!C86</f>
        <v>3.7999999999999999E-2</v>
      </c>
      <c r="D84" s="521" t="e">
        <f>SUM(#REF!)</f>
        <v>#REF!</v>
      </c>
      <c r="E84" s="521"/>
    </row>
    <row r="85" spans="1:5" ht="15.9" customHeight="1">
      <c r="A85" s="520" t="s">
        <v>103</v>
      </c>
      <c r="B85" s="514"/>
      <c r="C85" s="451">
        <f>SUM(C83:C84)</f>
        <v>0.152</v>
      </c>
      <c r="D85" s="521" t="e">
        <f>SUM(#REF!)</f>
        <v>#REF!</v>
      </c>
      <c r="E85" s="521"/>
    </row>
    <row r="86" spans="1:5" ht="15.9" customHeight="1">
      <c r="A86" s="414" t="s">
        <v>30</v>
      </c>
      <c r="B86" s="429" t="s">
        <v>104</v>
      </c>
      <c r="C86" s="452">
        <f>D77*C85</f>
        <v>5.5899999999999998E-2</v>
      </c>
      <c r="D86" s="521" t="e">
        <f>SUM(#REF!)</f>
        <v>#REF!</v>
      </c>
      <c r="E86" s="521"/>
    </row>
    <row r="87" spans="1:5" ht="15.9" customHeight="1">
      <c r="A87" s="506" t="s">
        <v>19</v>
      </c>
      <c r="B87" s="507"/>
      <c r="C87" s="453">
        <f>SUM(C85:C86)</f>
        <v>0.2079</v>
      </c>
      <c r="D87" s="517" t="e">
        <f>D85+D86</f>
        <v>#REF!</v>
      </c>
      <c r="E87" s="518"/>
    </row>
    <row r="88" spans="1:5" ht="15.9" customHeight="1">
      <c r="A88" s="382"/>
      <c r="B88" s="342"/>
      <c r="C88" s="342"/>
      <c r="D88" s="342"/>
      <c r="E88" s="342"/>
    </row>
    <row r="89" spans="1:5" ht="15.9" customHeight="1">
      <c r="A89" s="404" t="s">
        <v>105</v>
      </c>
      <c r="B89" s="342"/>
      <c r="C89" s="342"/>
      <c r="D89" s="342"/>
      <c r="E89" s="342"/>
    </row>
    <row r="90" spans="1:5" ht="15.9" customHeight="1">
      <c r="A90" s="441" t="s">
        <v>106</v>
      </c>
      <c r="B90" s="442" t="s">
        <v>107</v>
      </c>
      <c r="C90" s="454"/>
      <c r="D90" s="519" t="s">
        <v>51</v>
      </c>
      <c r="E90" s="519"/>
    </row>
    <row r="91" spans="1:5" ht="15.9" customHeight="1">
      <c r="A91" s="357" t="s">
        <v>25</v>
      </c>
      <c r="B91" s="429" t="s">
        <v>108</v>
      </c>
      <c r="C91" s="455">
        <f>'BASE DE CÁLCULO'!C87</f>
        <v>2.3999999999999998E-3</v>
      </c>
      <c r="D91" s="505" t="e">
        <f>SUM(#REF!)</f>
        <v>#REF!</v>
      </c>
      <c r="E91" s="505"/>
    </row>
    <row r="92" spans="1:5" ht="15.9" customHeight="1">
      <c r="A92" s="357" t="s">
        <v>27</v>
      </c>
      <c r="B92" s="429" t="s">
        <v>109</v>
      </c>
      <c r="C92" s="456">
        <f>D77*C91</f>
        <v>8.9999999999999998E-4</v>
      </c>
      <c r="D92" s="505" t="e">
        <f>SUM(#REF!)</f>
        <v>#REF!</v>
      </c>
      <c r="E92" s="505"/>
    </row>
    <row r="93" spans="1:5" ht="15.9" customHeight="1">
      <c r="A93" s="506" t="s">
        <v>19</v>
      </c>
      <c r="B93" s="507"/>
      <c r="C93" s="453">
        <f>SUM(C91:C92)</f>
        <v>3.3E-3</v>
      </c>
      <c r="D93" s="517" t="e">
        <f>SUM(D91:E92)</f>
        <v>#REF!</v>
      </c>
      <c r="E93" s="518"/>
    </row>
    <row r="94" spans="1:5" ht="15.9" customHeight="1">
      <c r="A94" s="382"/>
      <c r="B94" s="342"/>
      <c r="C94" s="342"/>
      <c r="D94" s="342"/>
      <c r="E94" s="342"/>
    </row>
    <row r="95" spans="1:5" ht="15.9" customHeight="1">
      <c r="A95" s="382" t="s">
        <v>110</v>
      </c>
      <c r="B95" s="342"/>
      <c r="C95" s="342"/>
      <c r="D95" s="342"/>
      <c r="E95" s="342"/>
    </row>
    <row r="96" spans="1:5" ht="15.9" customHeight="1">
      <c r="A96" s="457" t="s">
        <v>111</v>
      </c>
      <c r="B96" s="402" t="s">
        <v>112</v>
      </c>
      <c r="C96" s="403"/>
      <c r="D96" s="519" t="s">
        <v>51</v>
      </c>
      <c r="E96" s="519"/>
    </row>
    <row r="97" spans="1:5" ht="15.9" customHeight="1">
      <c r="A97" s="357" t="s">
        <v>25</v>
      </c>
      <c r="B97" s="429" t="s">
        <v>113</v>
      </c>
      <c r="C97" s="455">
        <f>'BASE DE CÁLCULO'!C88</f>
        <v>4.1999999999999997E-3</v>
      </c>
      <c r="D97" s="505" t="e">
        <f>SUM(#REF!)</f>
        <v>#REF!</v>
      </c>
      <c r="E97" s="505"/>
    </row>
    <row r="98" spans="1:5" ht="15.9" customHeight="1">
      <c r="A98" s="357" t="s">
        <v>27</v>
      </c>
      <c r="B98" s="429" t="s">
        <v>114</v>
      </c>
      <c r="C98" s="455">
        <f>D77*C97</f>
        <v>1.5E-3</v>
      </c>
      <c r="D98" s="505" t="e">
        <f>SUM(#REF!)</f>
        <v>#REF!</v>
      </c>
      <c r="E98" s="505"/>
    </row>
    <row r="99" spans="1:5" ht="15.9" customHeight="1">
      <c r="A99" s="357" t="s">
        <v>30</v>
      </c>
      <c r="B99" s="429" t="s">
        <v>115</v>
      </c>
      <c r="C99" s="455">
        <f>((8%*40%)*C97)+((8%*C97))</f>
        <v>5.0000000000000001E-4</v>
      </c>
      <c r="D99" s="505" t="e">
        <f>SUM(#REF!)</f>
        <v>#REF!</v>
      </c>
      <c r="E99" s="505"/>
    </row>
    <row r="100" spans="1:5" ht="15.9" customHeight="1">
      <c r="A100" s="357" t="s">
        <v>32</v>
      </c>
      <c r="B100" s="429" t="s">
        <v>116</v>
      </c>
      <c r="C100" s="455" t="e">
        <f>'BASE DE CÁLCULO'!#REF!</f>
        <v>#REF!</v>
      </c>
      <c r="D100" s="505" t="e">
        <f>SUM(#REF!)</f>
        <v>#REF!</v>
      </c>
      <c r="E100" s="505"/>
    </row>
    <row r="101" spans="1:5" ht="15.9" customHeight="1">
      <c r="A101" s="357" t="s">
        <v>56</v>
      </c>
      <c r="B101" s="429" t="s">
        <v>117</v>
      </c>
      <c r="C101" s="455" t="e">
        <f>D77*C100</f>
        <v>#REF!</v>
      </c>
      <c r="D101" s="505" t="e">
        <f>SUM(#REF!)</f>
        <v>#REF!</v>
      </c>
      <c r="E101" s="505"/>
    </row>
    <row r="102" spans="1:5" ht="15.9" customHeight="1">
      <c r="A102" s="357" t="s">
        <v>58</v>
      </c>
      <c r="B102" s="429" t="s">
        <v>118</v>
      </c>
      <c r="C102" s="455">
        <f>'BASE DE CÁLCULO'!C93</f>
        <v>5.9999999999999995E-4</v>
      </c>
      <c r="D102" s="505" t="e">
        <f>SUM(#REF!)</f>
        <v>#REF!</v>
      </c>
      <c r="E102" s="505"/>
    </row>
    <row r="103" spans="1:5" ht="15.9" customHeight="1">
      <c r="A103" s="511" t="s">
        <v>19</v>
      </c>
      <c r="B103" s="516"/>
      <c r="C103" s="458" t="e">
        <f>SUM(C97:C102)</f>
        <v>#REF!</v>
      </c>
      <c r="D103" s="517" t="e">
        <f>SUM(D97:E102)</f>
        <v>#REF!</v>
      </c>
      <c r="E103" s="518"/>
    </row>
    <row r="104" spans="1:5" ht="15.9" customHeight="1">
      <c r="A104" s="381"/>
      <c r="B104" s="342"/>
      <c r="C104" s="342"/>
      <c r="D104" s="342"/>
      <c r="E104" s="342"/>
    </row>
    <row r="105" spans="1:5" ht="15.9" customHeight="1">
      <c r="A105" s="425" t="s">
        <v>119</v>
      </c>
      <c r="B105" s="342"/>
      <c r="C105" s="342"/>
      <c r="D105" s="342"/>
      <c r="E105" s="342"/>
    </row>
    <row r="106" spans="1:5" ht="15.9" customHeight="1">
      <c r="A106" s="441" t="s">
        <v>120</v>
      </c>
      <c r="B106" s="442" t="s">
        <v>121</v>
      </c>
      <c r="C106" s="443"/>
      <c r="D106" s="512" t="s">
        <v>51</v>
      </c>
      <c r="E106" s="513"/>
    </row>
    <row r="107" spans="1:5" ht="15.9" customHeight="1">
      <c r="A107" s="414" t="s">
        <v>25</v>
      </c>
      <c r="B107" s="429" t="s">
        <v>122</v>
      </c>
      <c r="C107" s="451">
        <f>'BASE DE CÁLCULO'!C94</f>
        <v>0.114</v>
      </c>
      <c r="D107" s="505" t="e">
        <f>SUM(#REF!)</f>
        <v>#REF!</v>
      </c>
      <c r="E107" s="505"/>
    </row>
    <row r="108" spans="1:5" ht="15.9" customHeight="1">
      <c r="A108" s="414" t="s">
        <v>27</v>
      </c>
      <c r="B108" s="429" t="s">
        <v>123</v>
      </c>
      <c r="C108" s="451">
        <f>'BASE DE CÁLCULO'!C95</f>
        <v>1.9E-2</v>
      </c>
      <c r="D108" s="505" t="e">
        <f>SUM(#REF!)</f>
        <v>#REF!</v>
      </c>
      <c r="E108" s="505"/>
    </row>
    <row r="109" spans="1:5" ht="15.9" customHeight="1">
      <c r="A109" s="414" t="s">
        <v>30</v>
      </c>
      <c r="B109" s="429" t="s">
        <v>124</v>
      </c>
      <c r="C109" s="451">
        <f>'BASE DE CÁLCULO'!C96</f>
        <v>2.9999999999999997E-4</v>
      </c>
      <c r="D109" s="505" t="e">
        <f>SUM(#REF!)</f>
        <v>#REF!</v>
      </c>
      <c r="E109" s="505"/>
    </row>
    <row r="110" spans="1:5" ht="15.9" customHeight="1">
      <c r="A110" s="414" t="s">
        <v>32</v>
      </c>
      <c r="B110" s="429" t="s">
        <v>125</v>
      </c>
      <c r="C110" s="451">
        <f>'BASE DE CÁLCULO'!C97</f>
        <v>1.14E-2</v>
      </c>
      <c r="D110" s="505" t="e">
        <f>SUM(#REF!)</f>
        <v>#REF!</v>
      </c>
      <c r="E110" s="505"/>
    </row>
    <row r="111" spans="1:5" ht="15.9" customHeight="1">
      <c r="A111" s="414" t="s">
        <v>56</v>
      </c>
      <c r="B111" s="429" t="s">
        <v>126</v>
      </c>
      <c r="C111" s="451">
        <f>'BASE DE CÁLCULO'!C98</f>
        <v>4.5999999999999999E-3</v>
      </c>
      <c r="D111" s="505" t="e">
        <f>SUM(#REF!)</f>
        <v>#REF!</v>
      </c>
      <c r="E111" s="505"/>
    </row>
    <row r="112" spans="1:5" ht="15.9" customHeight="1">
      <c r="A112" s="414" t="s">
        <v>58</v>
      </c>
      <c r="B112" s="429" t="s">
        <v>63</v>
      </c>
      <c r="C112" s="451">
        <f>'BASE DE CÁLCULO'!C100</f>
        <v>0.3362</v>
      </c>
      <c r="D112" s="505" t="e">
        <f>SUM(#REF!)</f>
        <v>#REF!</v>
      </c>
      <c r="E112" s="505"/>
    </row>
    <row r="113" spans="1:5" ht="15.9" customHeight="1">
      <c r="A113" s="514" t="s">
        <v>103</v>
      </c>
      <c r="B113" s="515"/>
      <c r="C113" s="451">
        <f>SUM(C107:C112)</f>
        <v>0.48549999999999999</v>
      </c>
      <c r="D113" s="502" t="e">
        <f>SUM(D107:E112)</f>
        <v>#REF!</v>
      </c>
      <c r="E113" s="499"/>
    </row>
    <row r="114" spans="1:5" ht="15.9" customHeight="1">
      <c r="A114" s="414" t="s">
        <v>60</v>
      </c>
      <c r="B114" s="429" t="s">
        <v>127</v>
      </c>
      <c r="C114" s="451">
        <f>D77*C113</f>
        <v>0.1787</v>
      </c>
      <c r="D114" s="505" t="e">
        <f>SUM(#REF!)</f>
        <v>#REF!</v>
      </c>
      <c r="E114" s="505"/>
    </row>
    <row r="115" spans="1:5" ht="15.9" customHeight="1">
      <c r="A115" s="511" t="s">
        <v>19</v>
      </c>
      <c r="B115" s="516"/>
      <c r="C115" s="459">
        <f>C113+C114</f>
        <v>0.66420000000000001</v>
      </c>
      <c r="D115" s="517" t="e">
        <f>D113+D114</f>
        <v>#REF!</v>
      </c>
      <c r="E115" s="518"/>
    </row>
    <row r="116" spans="1:5" ht="15.9" customHeight="1">
      <c r="A116" s="382"/>
      <c r="B116" s="342"/>
      <c r="C116" s="342"/>
      <c r="D116" s="342"/>
      <c r="E116" s="342"/>
    </row>
    <row r="117" spans="1:5" ht="15.9" customHeight="1">
      <c r="A117" s="382" t="s">
        <v>128</v>
      </c>
      <c r="B117" s="342"/>
      <c r="C117" s="342"/>
      <c r="D117" s="342"/>
      <c r="E117" s="342"/>
    </row>
    <row r="118" spans="1:5" ht="15.9" customHeight="1">
      <c r="A118" s="383">
        <v>4</v>
      </c>
      <c r="B118" s="402" t="s">
        <v>129</v>
      </c>
      <c r="C118" s="403"/>
      <c r="D118" s="512" t="s">
        <v>51</v>
      </c>
      <c r="E118" s="513"/>
    </row>
    <row r="119" spans="1:5" ht="15.9" customHeight="1">
      <c r="A119" s="357" t="s">
        <v>85</v>
      </c>
      <c r="B119" s="429" t="s">
        <v>130</v>
      </c>
      <c r="C119" s="451">
        <f>C87</f>
        <v>0.2079</v>
      </c>
      <c r="D119" s="505" t="e">
        <f>SUM(#REF!)</f>
        <v>#REF!</v>
      </c>
      <c r="E119" s="505"/>
    </row>
    <row r="120" spans="1:5" ht="15.9" customHeight="1">
      <c r="A120" s="357" t="s">
        <v>99</v>
      </c>
      <c r="B120" s="429" t="s">
        <v>86</v>
      </c>
      <c r="C120" s="451">
        <f>D77</f>
        <v>0.36799999999999999</v>
      </c>
      <c r="D120" s="505" t="e">
        <f>SUM(#REF!)</f>
        <v>#REF!</v>
      </c>
      <c r="E120" s="505"/>
    </row>
    <row r="121" spans="1:5" ht="15.9" customHeight="1">
      <c r="A121" s="357" t="s">
        <v>106</v>
      </c>
      <c r="B121" s="429" t="s">
        <v>108</v>
      </c>
      <c r="C121" s="451">
        <f>C93</f>
        <v>3.3E-3</v>
      </c>
      <c r="D121" s="505" t="e">
        <f>SUM(#REF!)</f>
        <v>#REF!</v>
      </c>
      <c r="E121" s="505"/>
    </row>
    <row r="122" spans="1:5" ht="15.9" customHeight="1">
      <c r="A122" s="357" t="s">
        <v>111</v>
      </c>
      <c r="B122" s="429" t="s">
        <v>131</v>
      </c>
      <c r="C122" s="451" t="e">
        <f>C103</f>
        <v>#REF!</v>
      </c>
      <c r="D122" s="505" t="e">
        <f>SUM(#REF!)</f>
        <v>#REF!</v>
      </c>
      <c r="E122" s="505"/>
    </row>
    <row r="123" spans="1:5" ht="15.9" customHeight="1">
      <c r="A123" s="357" t="s">
        <v>120</v>
      </c>
      <c r="B123" s="429" t="s">
        <v>132</v>
      </c>
      <c r="C123" s="451">
        <f>C115</f>
        <v>0.66420000000000001</v>
      </c>
      <c r="D123" s="505" t="e">
        <f>SUM(#REF!)</f>
        <v>#REF!</v>
      </c>
      <c r="E123" s="505"/>
    </row>
    <row r="124" spans="1:5" ht="15.9" customHeight="1">
      <c r="A124" s="357" t="s">
        <v>133</v>
      </c>
      <c r="B124" s="429" t="s">
        <v>63</v>
      </c>
      <c r="C124" s="460">
        <v>0</v>
      </c>
      <c r="D124" s="505" t="e">
        <f>SUM(#REF!)</f>
        <v>#REF!</v>
      </c>
      <c r="E124" s="505"/>
    </row>
    <row r="125" spans="1:5" ht="15.9" customHeight="1">
      <c r="A125" s="506" t="s">
        <v>134</v>
      </c>
      <c r="B125" s="507"/>
      <c r="C125" s="459" t="e">
        <f>SUM(C119:C124)</f>
        <v>#REF!</v>
      </c>
      <c r="D125" s="496" t="e">
        <f>SUM(D119:D124)</f>
        <v>#REF!</v>
      </c>
      <c r="E125" s="508"/>
    </row>
    <row r="126" spans="1:5" ht="15.9" customHeight="1">
      <c r="A126" s="382"/>
      <c r="B126" s="342"/>
      <c r="C126" s="342"/>
      <c r="D126" s="342"/>
      <c r="E126" s="342"/>
    </row>
    <row r="127" spans="1:5" ht="15.9" customHeight="1">
      <c r="A127" s="404" t="s">
        <v>135</v>
      </c>
      <c r="B127" s="342"/>
      <c r="C127" s="342"/>
      <c r="D127" s="342"/>
      <c r="E127" s="342"/>
    </row>
    <row r="128" spans="1:5" ht="15.9" customHeight="1">
      <c r="A128" s="362" t="s">
        <v>136</v>
      </c>
      <c r="B128" s="433" t="s">
        <v>137</v>
      </c>
      <c r="C128" s="434"/>
      <c r="D128" s="424" t="s">
        <v>87</v>
      </c>
      <c r="E128" s="424" t="s">
        <v>51</v>
      </c>
    </row>
    <row r="129" spans="1:6" ht="15.9" customHeight="1">
      <c r="A129" s="357" t="s">
        <v>25</v>
      </c>
      <c r="B129" s="429" t="s">
        <v>138</v>
      </c>
      <c r="C129" s="430"/>
      <c r="D129" s="461" t="e">
        <f>'BASE DE CÁLCULO'!#REF!</f>
        <v>#REF!</v>
      </c>
      <c r="E129" s="446" t="e">
        <f>SUM(#REF!)</f>
        <v>#REF!</v>
      </c>
      <c r="F129" s="462"/>
    </row>
    <row r="130" spans="1:6" ht="15.9" customHeight="1">
      <c r="A130" s="357" t="s">
        <v>27</v>
      </c>
      <c r="B130" s="429" t="s">
        <v>139</v>
      </c>
      <c r="C130" s="430"/>
      <c r="D130" s="359"/>
      <c r="E130" s="446" t="e">
        <f>SUM(#REF!)</f>
        <v>#REF!</v>
      </c>
    </row>
    <row r="131" spans="1:6" ht="15.9" customHeight="1">
      <c r="A131" s="357"/>
      <c r="B131" s="429" t="s">
        <v>140</v>
      </c>
      <c r="C131" s="430"/>
      <c r="D131" s="461">
        <f>'BASE DE CÁLCULO'!C66</f>
        <v>1.6500000000000001E-2</v>
      </c>
      <c r="E131" s="446" t="e">
        <f>SUM(#REF!)</f>
        <v>#REF!</v>
      </c>
      <c r="F131" s="462"/>
    </row>
    <row r="132" spans="1:6" ht="15.9" customHeight="1">
      <c r="A132" s="357"/>
      <c r="B132" s="429" t="s">
        <v>141</v>
      </c>
      <c r="C132" s="430"/>
      <c r="D132" s="461">
        <f>'BASE DE CÁLCULO'!C67</f>
        <v>7.5999999999999998E-2</v>
      </c>
      <c r="E132" s="446" t="e">
        <f>SUM(#REF!)</f>
        <v>#REF!</v>
      </c>
      <c r="F132" s="462"/>
    </row>
    <row r="133" spans="1:6" ht="15.9" customHeight="1">
      <c r="A133" s="357"/>
      <c r="B133" s="429" t="s">
        <v>142</v>
      </c>
      <c r="C133" s="430"/>
      <c r="D133" s="359"/>
      <c r="E133" s="446" t="e">
        <f>SUM(#REF!)</f>
        <v>#REF!</v>
      </c>
    </row>
    <row r="134" spans="1:6" ht="15.9" customHeight="1">
      <c r="A134" s="357"/>
      <c r="B134" s="429" t="s">
        <v>143</v>
      </c>
      <c r="C134" s="430"/>
      <c r="D134" s="461">
        <f>'BASE DE CÁLCULO'!C68</f>
        <v>0</v>
      </c>
      <c r="E134" s="446" t="e">
        <f>SUM(#REF!)</f>
        <v>#REF!</v>
      </c>
      <c r="F134" s="462"/>
    </row>
    <row r="135" spans="1:6" ht="15.9" customHeight="1">
      <c r="A135" s="357"/>
      <c r="B135" s="429" t="s">
        <v>144</v>
      </c>
      <c r="C135" s="430"/>
      <c r="D135" s="359"/>
      <c r="E135" s="446" t="e">
        <f>SUM(#REF!)</f>
        <v>#REF!</v>
      </c>
    </row>
    <row r="136" spans="1:6" ht="15.9" customHeight="1">
      <c r="A136" s="357" t="s">
        <v>30</v>
      </c>
      <c r="B136" s="429" t="s">
        <v>145</v>
      </c>
      <c r="C136" s="430"/>
      <c r="D136" s="461">
        <f>'BASE DE CÁLCULO'!C64</f>
        <v>0.1</v>
      </c>
      <c r="E136" s="446" t="e">
        <f>SUM(#REF!)</f>
        <v>#REF!</v>
      </c>
      <c r="F136" s="462"/>
    </row>
    <row r="137" spans="1:6" ht="15.9" customHeight="1">
      <c r="A137" s="362"/>
      <c r="B137" s="431" t="s">
        <v>146</v>
      </c>
      <c r="C137" s="432"/>
      <c r="D137" s="364"/>
      <c r="E137" s="463" t="e">
        <f>SUM(E129:E136)</f>
        <v>#REF!</v>
      </c>
      <c r="F137" s="464"/>
    </row>
    <row r="138" spans="1:6" ht="15.9" customHeight="1">
      <c r="A138" s="382" t="s">
        <v>147</v>
      </c>
      <c r="B138" s="342"/>
      <c r="C138" s="342"/>
      <c r="D138" s="342"/>
      <c r="E138" s="342"/>
    </row>
    <row r="139" spans="1:6" ht="15.9" customHeight="1">
      <c r="A139" s="382" t="s">
        <v>148</v>
      </c>
      <c r="B139" s="342"/>
      <c r="C139" s="342"/>
      <c r="D139" s="342"/>
      <c r="E139" s="342"/>
    </row>
    <row r="140" spans="1:6" ht="15.9" customHeight="1">
      <c r="A140" s="382"/>
      <c r="B140" s="342"/>
      <c r="C140" s="342"/>
      <c r="D140" s="342"/>
      <c r="E140" s="342"/>
    </row>
    <row r="141" spans="1:6" ht="15.9" customHeight="1">
      <c r="A141" s="404" t="s">
        <v>149</v>
      </c>
      <c r="B141" s="342"/>
      <c r="C141" s="342"/>
      <c r="D141" s="342"/>
      <c r="E141" s="342"/>
    </row>
    <row r="142" spans="1:6" ht="15.9" customHeight="1">
      <c r="A142" s="362"/>
      <c r="B142" s="509" t="s">
        <v>150</v>
      </c>
      <c r="C142" s="510"/>
      <c r="D142" s="511" t="s">
        <v>151</v>
      </c>
      <c r="E142" s="497"/>
    </row>
    <row r="143" spans="1:6" ht="15.9" customHeight="1">
      <c r="A143" s="357" t="s">
        <v>25</v>
      </c>
      <c r="B143" s="427" t="s">
        <v>152</v>
      </c>
      <c r="C143" s="428"/>
      <c r="D143" s="498" t="e">
        <f>D42</f>
        <v>#REF!</v>
      </c>
      <c r="E143" s="499"/>
    </row>
    <row r="144" spans="1:6" ht="15.9" customHeight="1">
      <c r="A144" s="357" t="s">
        <v>27</v>
      </c>
      <c r="B144" s="427" t="s">
        <v>153</v>
      </c>
      <c r="C144" s="428"/>
      <c r="D144" s="498" t="e">
        <f>D53</f>
        <v>#REF!</v>
      </c>
      <c r="E144" s="499"/>
    </row>
    <row r="145" spans="1:7" ht="15.9" customHeight="1">
      <c r="A145" s="357" t="s">
        <v>30</v>
      </c>
      <c r="B145" s="500" t="s">
        <v>154</v>
      </c>
      <c r="C145" s="501"/>
      <c r="D145" s="498" t="e">
        <f>D62</f>
        <v>#REF!</v>
      </c>
      <c r="E145" s="499"/>
    </row>
    <row r="146" spans="1:7" ht="15.9" customHeight="1">
      <c r="A146" s="357" t="s">
        <v>32</v>
      </c>
      <c r="B146" s="427" t="s">
        <v>155</v>
      </c>
      <c r="C146" s="428"/>
      <c r="D146" s="502" t="e">
        <f>D125</f>
        <v>#REF!</v>
      </c>
      <c r="E146" s="499"/>
    </row>
    <row r="147" spans="1:7" ht="15.9" customHeight="1">
      <c r="A147" s="503" t="s">
        <v>156</v>
      </c>
      <c r="B147" s="504"/>
      <c r="C147" s="430"/>
      <c r="D147" s="498" t="e">
        <f>SUM(D143:E146)</f>
        <v>#REF!</v>
      </c>
      <c r="E147" s="499"/>
    </row>
    <row r="148" spans="1:7" ht="15.9" customHeight="1">
      <c r="A148" s="357" t="s">
        <v>56</v>
      </c>
      <c r="B148" s="427" t="s">
        <v>157</v>
      </c>
      <c r="C148" s="428"/>
      <c r="D148" s="492" t="e">
        <f>E137</f>
        <v>#REF!</v>
      </c>
      <c r="E148" s="493"/>
      <c r="F148" s="464"/>
    </row>
    <row r="149" spans="1:7" ht="15.9" customHeight="1">
      <c r="A149" s="494" t="s">
        <v>158</v>
      </c>
      <c r="B149" s="495"/>
      <c r="C149" s="440"/>
      <c r="D149" s="496" t="e">
        <f>D147+D148</f>
        <v>#REF!</v>
      </c>
      <c r="E149" s="497"/>
      <c r="G149" s="465"/>
    </row>
    <row r="150" spans="1:7" ht="15.9" customHeight="1">
      <c r="A150" s="466"/>
      <c r="E150" s="465"/>
    </row>
    <row r="151" spans="1:7" ht="15.9" customHeight="1"/>
    <row r="152" spans="1:7" ht="15.9" customHeight="1"/>
    <row r="153" spans="1:7" ht="15.9" customHeight="1"/>
    <row r="154" spans="1:7" ht="15.9" customHeight="1"/>
    <row r="155" spans="1:7" ht="15.9" customHeight="1"/>
    <row r="156" spans="1:7" ht="15.9" customHeight="1"/>
    <row r="157" spans="1:7" ht="15.9" customHeight="1"/>
    <row r="158" spans="1:7" ht="15.9" customHeight="1"/>
    <row r="159" spans="1:7" ht="15.9" customHeight="1"/>
    <row r="160" spans="1:7" ht="15.9" customHeight="1"/>
    <row r="161" ht="15.9" customHeight="1"/>
    <row r="162" ht="15.9" customHeight="1"/>
    <row r="163" ht="15.9" customHeight="1"/>
    <row r="164" ht="15.9" customHeight="1"/>
    <row r="165" ht="15.9" customHeight="1"/>
    <row r="166" ht="15.9" customHeight="1"/>
    <row r="167" ht="15.9" customHeight="1"/>
    <row r="168" ht="15.9" customHeight="1"/>
    <row r="169" ht="15.9" customHeight="1"/>
    <row r="170" ht="15.9" customHeight="1"/>
    <row r="171" ht="15.9" customHeight="1"/>
    <row r="172" ht="15.9" customHeight="1"/>
    <row r="173" ht="15.9" customHeight="1"/>
    <row r="174" ht="15.9" customHeight="1"/>
    <row r="175" ht="15.9" customHeight="1"/>
    <row r="176" ht="15.9" customHeight="1"/>
    <row r="177" ht="15.9" customHeight="1"/>
    <row r="178" ht="15.9" customHeight="1"/>
    <row r="179" ht="15.9" customHeight="1"/>
    <row r="180" ht="15.9" customHeight="1"/>
    <row r="181" ht="15.9" customHeight="1"/>
    <row r="182" ht="15.9" customHeight="1"/>
    <row r="183" ht="15.9" customHeight="1"/>
    <row r="184" ht="15.9" customHeight="1"/>
    <row r="185" ht="15.9" customHeight="1"/>
    <row r="186" ht="15.9" customHeight="1"/>
    <row r="187" ht="15.9" customHeight="1"/>
    <row r="188" ht="15.9" customHeight="1"/>
    <row r="189" ht="15.9" customHeight="1"/>
    <row r="190" ht="15.9" customHeight="1"/>
    <row r="191" ht="15.9" customHeight="1"/>
    <row r="192" ht="15.9" customHeight="1"/>
    <row r="193" ht="15.9" customHeight="1"/>
    <row r="194" ht="15.9" customHeight="1"/>
    <row r="195" ht="15.9" customHeight="1"/>
    <row r="196" ht="15.9" customHeight="1"/>
    <row r="197" ht="15.9" customHeight="1"/>
    <row r="198" ht="15.9" customHeight="1"/>
    <row r="199" ht="15.9" customHeight="1"/>
    <row r="200" ht="15.9" customHeight="1"/>
    <row r="201" ht="15.9" customHeight="1"/>
    <row r="202" ht="15.9" customHeight="1"/>
    <row r="203" ht="15.9" customHeight="1"/>
    <row r="204" ht="15.9" customHeight="1"/>
    <row r="205" ht="15.9" customHeight="1"/>
    <row r="206" ht="15.9" customHeight="1"/>
    <row r="207" ht="15.9" customHeight="1"/>
    <row r="208" ht="15.9" customHeight="1"/>
    <row r="209" ht="15.9" customHeight="1"/>
    <row r="210" ht="15.9" customHeight="1"/>
    <row r="211" ht="15.9" customHeight="1"/>
    <row r="212" ht="15.9" customHeight="1"/>
    <row r="213" ht="15.9" customHeight="1"/>
    <row r="214" ht="15.9" customHeight="1"/>
    <row r="215" ht="15.9" customHeight="1"/>
    <row r="216" ht="15.9" customHeight="1"/>
    <row r="217" ht="15.9" customHeight="1"/>
    <row r="218" ht="15.9" customHeight="1"/>
    <row r="219" ht="15.9" customHeight="1"/>
    <row r="220" ht="15.9" customHeight="1"/>
    <row r="221" ht="15.9" customHeight="1"/>
    <row r="222" ht="15.9" customHeight="1"/>
    <row r="223" ht="15.9" customHeight="1"/>
    <row r="224" ht="15.9" customHeight="1"/>
    <row r="225" ht="15.9" customHeight="1"/>
    <row r="226" ht="15.9" customHeight="1"/>
    <row r="227" ht="15.9" customHeight="1"/>
    <row r="228" ht="15.9" customHeight="1"/>
    <row r="229" ht="15.9" customHeight="1"/>
    <row r="230" ht="15.9" customHeight="1"/>
    <row r="231" ht="15.9" customHeight="1"/>
    <row r="232" ht="15.9" customHeight="1"/>
    <row r="233" ht="15.9" customHeight="1"/>
    <row r="234" ht="15.9" customHeight="1"/>
    <row r="235" ht="15.9" customHeight="1"/>
    <row r="236" ht="15.9" customHeight="1"/>
    <row r="237" ht="15.9" customHeight="1"/>
    <row r="238" ht="15.9" customHeight="1"/>
    <row r="239" ht="15.9" customHeight="1"/>
    <row r="240" ht="15.9" customHeight="1"/>
    <row r="241" ht="15.9" customHeight="1"/>
  </sheetData>
  <mergeCells count="106">
    <mergeCell ref="A1:E1"/>
    <mergeCell ref="A3:E3"/>
    <mergeCell ref="C4:E4"/>
    <mergeCell ref="C5:E5"/>
    <mergeCell ref="C9:E9"/>
    <mergeCell ref="C10:E10"/>
    <mergeCell ref="C11:E11"/>
    <mergeCell ref="C12:E12"/>
    <mergeCell ref="B15:C15"/>
    <mergeCell ref="D15:E15"/>
    <mergeCell ref="B16:C16"/>
    <mergeCell ref="D16:E16"/>
    <mergeCell ref="B17:C17"/>
    <mergeCell ref="D17:E17"/>
    <mergeCell ref="B18:C18"/>
    <mergeCell ref="D18:E18"/>
    <mergeCell ref="A19:E19"/>
    <mergeCell ref="A20:E20"/>
    <mergeCell ref="A22:E22"/>
    <mergeCell ref="A25:E25"/>
    <mergeCell ref="C26:E26"/>
    <mergeCell ref="C27:E27"/>
    <mergeCell ref="C28:E28"/>
    <mergeCell ref="C29:E29"/>
    <mergeCell ref="B33:C33"/>
    <mergeCell ref="D33:E33"/>
    <mergeCell ref="D34:E34"/>
    <mergeCell ref="D35:E35"/>
    <mergeCell ref="D36:E36"/>
    <mergeCell ref="D37:E37"/>
    <mergeCell ref="D38:E38"/>
    <mergeCell ref="D39:E39"/>
    <mergeCell ref="D40:E40"/>
    <mergeCell ref="D41:E41"/>
    <mergeCell ref="D42:E42"/>
    <mergeCell ref="D45:E45"/>
    <mergeCell ref="D46:E46"/>
    <mergeCell ref="D47:E47"/>
    <mergeCell ref="D48:E48"/>
    <mergeCell ref="D49:E49"/>
    <mergeCell ref="D50:E50"/>
    <mergeCell ref="D51:E51"/>
    <mergeCell ref="D52:E52"/>
    <mergeCell ref="D53:E53"/>
    <mergeCell ref="D57:E57"/>
    <mergeCell ref="D58:E58"/>
    <mergeCell ref="D59:E59"/>
    <mergeCell ref="D60:E60"/>
    <mergeCell ref="D61:E61"/>
    <mergeCell ref="D62:E62"/>
    <mergeCell ref="A77:B77"/>
    <mergeCell ref="D82:E82"/>
    <mergeCell ref="D83:E83"/>
    <mergeCell ref="D84:E84"/>
    <mergeCell ref="A85:B85"/>
    <mergeCell ref="D85:E85"/>
    <mergeCell ref="D86:E86"/>
    <mergeCell ref="A87:B87"/>
    <mergeCell ref="D87:E87"/>
    <mergeCell ref="D90:E90"/>
    <mergeCell ref="D91:E91"/>
    <mergeCell ref="D92:E92"/>
    <mergeCell ref="A93:B93"/>
    <mergeCell ref="D93:E93"/>
    <mergeCell ref="D96:E96"/>
    <mergeCell ref="D97:E97"/>
    <mergeCell ref="D98:E98"/>
    <mergeCell ref="D99:E99"/>
    <mergeCell ref="D100:E100"/>
    <mergeCell ref="D101:E101"/>
    <mergeCell ref="D102:E102"/>
    <mergeCell ref="A103:B103"/>
    <mergeCell ref="D103:E103"/>
    <mergeCell ref="D106:E106"/>
    <mergeCell ref="D107:E107"/>
    <mergeCell ref="D108:E108"/>
    <mergeCell ref="D109:E109"/>
    <mergeCell ref="D110:E110"/>
    <mergeCell ref="D111:E111"/>
    <mergeCell ref="D112:E112"/>
    <mergeCell ref="A113:B113"/>
    <mergeCell ref="D113:E113"/>
    <mergeCell ref="D114:E114"/>
    <mergeCell ref="A115:B115"/>
    <mergeCell ref="D115:E115"/>
    <mergeCell ref="D118:E118"/>
    <mergeCell ref="D119:E119"/>
    <mergeCell ref="D120:E120"/>
    <mergeCell ref="D121:E121"/>
    <mergeCell ref="D122:E122"/>
    <mergeCell ref="D123:E123"/>
    <mergeCell ref="D124:E124"/>
    <mergeCell ref="A125:B125"/>
    <mergeCell ref="D125:E125"/>
    <mergeCell ref="B142:C142"/>
    <mergeCell ref="D142:E142"/>
    <mergeCell ref="D143:E143"/>
    <mergeCell ref="D148:E148"/>
    <mergeCell ref="A149:B149"/>
    <mergeCell ref="D149:E149"/>
    <mergeCell ref="D144:E144"/>
    <mergeCell ref="B145:C145"/>
    <mergeCell ref="D145:E145"/>
    <mergeCell ref="D146:E146"/>
    <mergeCell ref="A147:B147"/>
    <mergeCell ref="D147:E147"/>
  </mergeCells>
  <printOptions horizontalCentered="1"/>
  <pageMargins left="0.39370078740157483" right="0.19685039370078741" top="1.6535433070866143" bottom="0.78740157480314965" header="0.51181102362204722" footer="0.51181102362204722"/>
  <pageSetup paperSize="9" scale="54" fitToHeight="2" orientation="portrait" r:id="rId1"/>
  <headerFooter alignWithMargins="0"/>
  <rowBreaks count="1" manualBreakCount="1">
    <brk id="79" max="4"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153" sqref="N153:P157"/>
    </sheetView>
  </sheetViews>
  <sheetFormatPr defaultColWidth="9.109375" defaultRowHeight="13.2"/>
  <cols>
    <col min="16" max="16" width="10"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CÁLCULO'!B34</f>
        <v>Vitória/ES</v>
      </c>
      <c r="O12" s="740"/>
      <c r="P12" s="741"/>
    </row>
    <row r="13" spans="1:16" ht="15.6">
      <c r="A13" s="7" t="s">
        <v>30</v>
      </c>
      <c r="B13" s="680" t="s">
        <v>455</v>
      </c>
      <c r="C13" s="681"/>
      <c r="D13" s="681"/>
      <c r="E13" s="681"/>
      <c r="F13" s="681"/>
      <c r="G13" s="681"/>
      <c r="H13" s="681"/>
      <c r="I13" s="681"/>
      <c r="J13" s="681"/>
      <c r="K13" s="681"/>
      <c r="L13" s="681"/>
      <c r="M13" s="682"/>
      <c r="N13" s="739" t="str">
        <f>'BASE DE CÁLCULO'!D34</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CÁLCULO'!C34</f>
        <v>Auxiliar de Manutenção</v>
      </c>
      <c r="B20" s="625"/>
      <c r="C20" s="625"/>
      <c r="D20" s="626"/>
      <c r="E20" s="751" t="s">
        <v>459</v>
      </c>
      <c r="F20" s="752"/>
      <c r="G20" s="752"/>
      <c r="H20" s="752"/>
      <c r="I20" s="752"/>
      <c r="J20" s="752"/>
      <c r="K20" s="752"/>
      <c r="L20" s="752"/>
      <c r="M20" s="753"/>
      <c r="N20" s="789">
        <f>'BASE DE CÁLCULO'!F34</f>
        <v>1</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Auxiliar de Manutenção</v>
      </c>
      <c r="O30" s="740"/>
      <c r="P30" s="741"/>
    </row>
    <row r="31" spans="1:16" ht="15.6">
      <c r="A31" s="7">
        <v>2</v>
      </c>
      <c r="B31" s="680" t="s">
        <v>466</v>
      </c>
      <c r="C31" s="681"/>
      <c r="D31" s="681"/>
      <c r="E31" s="681"/>
      <c r="F31" s="681"/>
      <c r="G31" s="681"/>
      <c r="H31" s="681"/>
      <c r="I31" s="681"/>
      <c r="J31" s="681"/>
      <c r="K31" s="681"/>
      <c r="L31" s="681"/>
      <c r="M31" s="682"/>
      <c r="N31" s="781" t="s">
        <v>576</v>
      </c>
      <c r="O31" s="779"/>
      <c r="P31" s="780"/>
    </row>
    <row r="32" spans="1:16" ht="15.6">
      <c r="A32" s="7">
        <v>3</v>
      </c>
      <c r="B32" s="680" t="s">
        <v>468</v>
      </c>
      <c r="C32" s="681"/>
      <c r="D32" s="681"/>
      <c r="E32" s="681"/>
      <c r="F32" s="681"/>
      <c r="G32" s="681"/>
      <c r="H32" s="681"/>
      <c r="I32" s="681"/>
      <c r="J32" s="681"/>
      <c r="K32" s="681"/>
      <c r="L32" s="681"/>
      <c r="M32" s="682"/>
      <c r="N32" s="772">
        <f>'BASE DE CÁLCULO'!G34</f>
        <v>1501.43</v>
      </c>
      <c r="O32" s="773"/>
      <c r="P32" s="774"/>
    </row>
    <row r="33" spans="1:16" ht="15.6">
      <c r="A33" s="7">
        <v>4</v>
      </c>
      <c r="B33" s="680" t="s">
        <v>469</v>
      </c>
      <c r="C33" s="681"/>
      <c r="D33" s="681"/>
      <c r="E33" s="681"/>
      <c r="F33" s="681"/>
      <c r="G33" s="681"/>
      <c r="H33" s="681"/>
      <c r="I33" s="681"/>
      <c r="J33" s="681"/>
      <c r="K33" s="681"/>
      <c r="L33" s="681"/>
      <c r="M33" s="682"/>
      <c r="N33" s="782" t="str">
        <f>'BASE DE CÁLCULO'!E34</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1501.43</v>
      </c>
      <c r="O39" s="773"/>
      <c r="P39" s="774"/>
    </row>
    <row r="40" spans="1:16" ht="15.6">
      <c r="A40" s="7" t="s">
        <v>27</v>
      </c>
      <c r="B40" s="680" t="s">
        <v>474</v>
      </c>
      <c r="C40" s="681"/>
      <c r="D40" s="681"/>
      <c r="E40" s="681"/>
      <c r="F40" s="681"/>
      <c r="G40" s="681"/>
      <c r="H40" s="681"/>
      <c r="I40" s="681"/>
      <c r="J40" s="681"/>
      <c r="K40" s="681"/>
      <c r="L40" s="681"/>
      <c r="M40" s="682"/>
      <c r="N40" s="772">
        <f>'BASE DE CÁLCULO'!I34</f>
        <v>450.43</v>
      </c>
      <c r="O40" s="773"/>
      <c r="P40" s="774"/>
    </row>
    <row r="41" spans="1:16" ht="15.6">
      <c r="A41" s="7" t="s">
        <v>30</v>
      </c>
      <c r="B41" s="680" t="s">
        <v>475</v>
      </c>
      <c r="C41" s="681"/>
      <c r="D41" s="681"/>
      <c r="E41" s="681"/>
      <c r="F41" s="681"/>
      <c r="G41" s="681"/>
      <c r="H41" s="681"/>
      <c r="I41" s="681"/>
      <c r="J41" s="681"/>
      <c r="K41" s="681"/>
      <c r="L41" s="681"/>
      <c r="M41" s="682"/>
      <c r="N41" s="772" t="str">
        <f>'BASE DE CÁLCULO'!J34</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1951.86</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222.51</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296.68</v>
      </c>
      <c r="O53" s="773"/>
      <c r="P53" s="774"/>
    </row>
    <row r="54" spans="1:16" ht="15.6">
      <c r="A54" s="633" t="s">
        <v>480</v>
      </c>
      <c r="B54" s="634"/>
      <c r="C54" s="634"/>
      <c r="D54" s="634"/>
      <c r="E54" s="634"/>
      <c r="F54" s="634"/>
      <c r="G54" s="634"/>
      <c r="H54" s="634"/>
      <c r="I54" s="634"/>
      <c r="J54" s="634"/>
      <c r="K54" s="634"/>
      <c r="L54" s="634"/>
      <c r="M54" s="635"/>
      <c r="N54" s="775">
        <f>SUM(N52:P53)</f>
        <v>519.19000000000005</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390.37</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48.8</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58.56</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29.28</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19.52</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11.71</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3.9</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156.15</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718.29</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CÁLCULO'!K34</f>
        <v>131.36000000000001</v>
      </c>
      <c r="O75" s="773"/>
      <c r="P75" s="774"/>
    </row>
    <row r="76" spans="1:16" ht="16.5" customHeight="1">
      <c r="A76" s="7" t="s">
        <v>27</v>
      </c>
      <c r="B76" s="680" t="s">
        <v>331</v>
      </c>
      <c r="C76" s="681"/>
      <c r="D76" s="681"/>
      <c r="E76" s="681"/>
      <c r="F76" s="681"/>
      <c r="G76" s="681"/>
      <c r="H76" s="681"/>
      <c r="I76" s="681"/>
      <c r="J76" s="681"/>
      <c r="K76" s="681"/>
      <c r="L76" s="681"/>
      <c r="M76" s="682"/>
      <c r="N76" s="772">
        <f>'BASE DE CÁLCULO'!L34</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CÁLCULO'!N34</f>
        <v>235.52</v>
      </c>
      <c r="O77" s="773"/>
      <c r="P77" s="774"/>
    </row>
    <row r="78" spans="1:16" ht="15.6">
      <c r="A78" s="7" t="s">
        <v>32</v>
      </c>
      <c r="B78" s="680" t="s">
        <v>509</v>
      </c>
      <c r="C78" s="681"/>
      <c r="D78" s="681"/>
      <c r="E78" s="681"/>
      <c r="F78" s="681"/>
      <c r="G78" s="681"/>
      <c r="H78" s="681"/>
      <c r="I78" s="681"/>
      <c r="J78" s="681"/>
      <c r="K78" s="681"/>
      <c r="L78" s="681"/>
      <c r="M78" s="682"/>
      <c r="N78" s="772">
        <f>'BASE DE CÁLCULO'!M34</f>
        <v>0</v>
      </c>
      <c r="O78" s="773"/>
      <c r="P78" s="774"/>
    </row>
    <row r="79" spans="1:16" ht="15.6">
      <c r="A79" s="7" t="s">
        <v>56</v>
      </c>
      <c r="B79" s="680" t="s">
        <v>510</v>
      </c>
      <c r="C79" s="681"/>
      <c r="D79" s="681"/>
      <c r="E79" s="681"/>
      <c r="F79" s="681"/>
      <c r="G79" s="681"/>
      <c r="H79" s="681"/>
      <c r="I79" s="681"/>
      <c r="J79" s="681"/>
      <c r="K79" s="681"/>
      <c r="L79" s="681"/>
      <c r="M79" s="682"/>
      <c r="N79" s="772">
        <f>'BASE DE CÁLCULO'!Q34</f>
        <v>25.3</v>
      </c>
      <c r="O79" s="773"/>
      <c r="P79" s="774"/>
    </row>
    <row r="80" spans="1:16" ht="15.6">
      <c r="A80" s="7" t="s">
        <v>58</v>
      </c>
      <c r="B80" s="680" t="s">
        <v>511</v>
      </c>
      <c r="C80" s="681"/>
      <c r="D80" s="681"/>
      <c r="E80" s="681"/>
      <c r="F80" s="681"/>
      <c r="G80" s="681"/>
      <c r="H80" s="681"/>
      <c r="I80" s="681"/>
      <c r="J80" s="681"/>
      <c r="K80" s="681"/>
      <c r="L80" s="681"/>
      <c r="M80" s="682"/>
      <c r="N80" s="714">
        <f>'BASE DE CÁLCULO'!S34</f>
        <v>169.47</v>
      </c>
      <c r="O80" s="715"/>
      <c r="P80" s="716"/>
    </row>
    <row r="81" spans="1:16" ht="16.2" customHeight="1">
      <c r="A81" s="7" t="s">
        <v>60</v>
      </c>
      <c r="B81" s="680" t="s">
        <v>334</v>
      </c>
      <c r="C81" s="681"/>
      <c r="D81" s="681"/>
      <c r="E81" s="681"/>
      <c r="F81" s="681"/>
      <c r="G81" s="681"/>
      <c r="H81" s="681"/>
      <c r="I81" s="681"/>
      <c r="J81" s="681"/>
      <c r="K81" s="681"/>
      <c r="L81" s="681"/>
      <c r="M81" s="682"/>
      <c r="N81" s="772">
        <f>'BASE DE CÁLCULO'!R34</f>
        <v>6.43</v>
      </c>
      <c r="O81" s="773"/>
      <c r="P81" s="774"/>
    </row>
    <row r="82" spans="1:16" ht="15.6">
      <c r="A82" s="633" t="s">
        <v>480</v>
      </c>
      <c r="B82" s="634"/>
      <c r="C82" s="634"/>
      <c r="D82" s="634"/>
      <c r="E82" s="634"/>
      <c r="F82" s="634"/>
      <c r="G82" s="634"/>
      <c r="H82" s="634"/>
      <c r="I82" s="634"/>
      <c r="J82" s="634"/>
      <c r="K82" s="634"/>
      <c r="L82" s="634"/>
      <c r="M82" s="635"/>
      <c r="N82" s="775">
        <f>SUM(N75:P81)</f>
        <v>726.19</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519.19000000000005</v>
      </c>
      <c r="O88" s="769"/>
      <c r="P88" s="770"/>
    </row>
    <row r="89" spans="1:16" ht="15.6">
      <c r="A89" s="11" t="s">
        <v>491</v>
      </c>
      <c r="B89" s="699" t="s">
        <v>518</v>
      </c>
      <c r="C89" s="700"/>
      <c r="D89" s="700"/>
      <c r="E89" s="700"/>
      <c r="F89" s="700"/>
      <c r="G89" s="700"/>
      <c r="H89" s="700"/>
      <c r="I89" s="700"/>
      <c r="J89" s="700"/>
      <c r="K89" s="700"/>
      <c r="L89" s="700"/>
      <c r="M89" s="701"/>
      <c r="N89" s="769">
        <f>N68</f>
        <v>718.29</v>
      </c>
      <c r="O89" s="769"/>
      <c r="P89" s="770"/>
    </row>
    <row r="90" spans="1:16" ht="15.6">
      <c r="A90" s="9" t="s">
        <v>506</v>
      </c>
      <c r="B90" s="699" t="s">
        <v>519</v>
      </c>
      <c r="C90" s="700"/>
      <c r="D90" s="700"/>
      <c r="E90" s="700"/>
      <c r="F90" s="700"/>
      <c r="G90" s="700"/>
      <c r="H90" s="700"/>
      <c r="I90" s="700"/>
      <c r="J90" s="700"/>
      <c r="K90" s="700"/>
      <c r="L90" s="700"/>
      <c r="M90" s="701"/>
      <c r="N90" s="769">
        <f>N82</f>
        <v>726.19</v>
      </c>
      <c r="O90" s="769"/>
      <c r="P90" s="770"/>
    </row>
    <row r="91" spans="1:16" ht="15.6">
      <c r="A91" s="633" t="s">
        <v>480</v>
      </c>
      <c r="B91" s="702"/>
      <c r="C91" s="702"/>
      <c r="D91" s="702"/>
      <c r="E91" s="702"/>
      <c r="F91" s="702"/>
      <c r="G91" s="702"/>
      <c r="H91" s="702"/>
      <c r="I91" s="702"/>
      <c r="J91" s="702"/>
      <c r="K91" s="702"/>
      <c r="L91" s="702"/>
      <c r="M91" s="703"/>
      <c r="N91" s="765">
        <f>SUM(N88:P90)</f>
        <v>1963.67</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8.1999999999999993</v>
      </c>
      <c r="O95" s="769"/>
      <c r="P95" s="770"/>
    </row>
    <row r="96" spans="1:16" ht="15.6">
      <c r="A96" s="7" t="s">
        <v>27</v>
      </c>
      <c r="B96" s="680" t="s">
        <v>522</v>
      </c>
      <c r="C96" s="681"/>
      <c r="D96" s="681"/>
      <c r="E96" s="681"/>
      <c r="F96" s="681"/>
      <c r="G96" s="681"/>
      <c r="H96" s="681"/>
      <c r="I96" s="681"/>
      <c r="J96" s="681"/>
      <c r="K96" s="681"/>
      <c r="L96" s="681"/>
      <c r="M96" s="682"/>
      <c r="N96" s="768">
        <f>N46*'BASE DE CÁLCULO'!C89</f>
        <v>0.59</v>
      </c>
      <c r="O96" s="769"/>
      <c r="P96" s="770"/>
    </row>
    <row r="97" spans="1:16" ht="15.6">
      <c r="A97" s="7" t="s">
        <v>30</v>
      </c>
      <c r="B97" s="680" t="s">
        <v>523</v>
      </c>
      <c r="C97" s="681"/>
      <c r="D97" s="681"/>
      <c r="E97" s="681"/>
      <c r="F97" s="681"/>
      <c r="G97" s="681"/>
      <c r="H97" s="681"/>
      <c r="I97" s="681"/>
      <c r="J97" s="681"/>
      <c r="K97" s="681"/>
      <c r="L97" s="681"/>
      <c r="M97" s="682"/>
      <c r="N97" s="768">
        <f>N46*'BASE DE CÁLCULO'!C90</f>
        <v>0.2</v>
      </c>
      <c r="O97" s="769"/>
      <c r="P97" s="770"/>
    </row>
    <row r="98" spans="1:16" ht="15.6">
      <c r="A98" s="7" t="s">
        <v>32</v>
      </c>
      <c r="B98" s="680" t="s">
        <v>524</v>
      </c>
      <c r="C98" s="681"/>
      <c r="D98" s="681"/>
      <c r="E98" s="681"/>
      <c r="F98" s="681"/>
      <c r="G98" s="681"/>
      <c r="H98" s="681"/>
      <c r="I98" s="681"/>
      <c r="J98" s="681"/>
      <c r="K98" s="681"/>
      <c r="L98" s="681"/>
      <c r="M98" s="682"/>
      <c r="N98" s="768">
        <f>N46*'BASE DE CÁLCULO'!C91</f>
        <v>37.869999999999997</v>
      </c>
      <c r="O98" s="769"/>
      <c r="P98" s="770"/>
    </row>
    <row r="99" spans="1:16" ht="15.6">
      <c r="A99" s="7" t="s">
        <v>56</v>
      </c>
      <c r="B99" s="680" t="s">
        <v>525</v>
      </c>
      <c r="C99" s="681"/>
      <c r="D99" s="681"/>
      <c r="E99" s="681"/>
      <c r="F99" s="681"/>
      <c r="G99" s="681"/>
      <c r="H99" s="681"/>
      <c r="I99" s="681"/>
      <c r="J99" s="681"/>
      <c r="K99" s="681"/>
      <c r="L99" s="681"/>
      <c r="M99" s="682"/>
      <c r="N99" s="768">
        <f>N46*'BASE DE CÁLCULO'!C92</f>
        <v>13.86</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1.17</v>
      </c>
      <c r="O100" s="684"/>
      <c r="P100" s="685"/>
    </row>
    <row r="101" spans="1:16" ht="15.6">
      <c r="A101" s="633" t="s">
        <v>480</v>
      </c>
      <c r="B101" s="634"/>
      <c r="C101" s="634"/>
      <c r="D101" s="634"/>
      <c r="E101" s="634"/>
      <c r="F101" s="634"/>
      <c r="G101" s="634"/>
      <c r="H101" s="634"/>
      <c r="I101" s="634"/>
      <c r="J101" s="634"/>
      <c r="K101" s="634"/>
      <c r="L101" s="634"/>
      <c r="M101" s="635"/>
      <c r="N101" s="765">
        <f>SUM(N95:P100)</f>
        <v>61.89</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222.51</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22.25</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37.090000000000003</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0.59</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8.98</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4.68</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1.56</v>
      </c>
      <c r="O115" s="769"/>
      <c r="P115" s="770"/>
    </row>
    <row r="116" spans="1:16" ht="15.6">
      <c r="A116" s="633" t="s">
        <v>480</v>
      </c>
      <c r="B116" s="634"/>
      <c r="C116" s="634"/>
      <c r="D116" s="634"/>
      <c r="E116" s="634"/>
      <c r="F116" s="634"/>
      <c r="G116" s="634"/>
      <c r="H116" s="634"/>
      <c r="I116" s="634"/>
      <c r="J116" s="634"/>
      <c r="K116" s="634"/>
      <c r="L116" s="634"/>
      <c r="M116" s="635"/>
      <c r="N116" s="765">
        <f>SUM(N109:P115)</f>
        <v>297.66000000000003</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3.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297.66000000000003</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297.66000000000003</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CÁLCULO'!O34</f>
        <v>204.64</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CÁLCULO'!P34</f>
        <v>16.97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221.61</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224.83</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472.15</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560.25</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302.83999999999997</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1560.07</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1951.86</v>
      </c>
      <c r="O153" s="769"/>
      <c r="P153" s="770"/>
    </row>
    <row r="154" spans="1:17" ht="15.6">
      <c r="A154" s="7" t="s">
        <v>27</v>
      </c>
      <c r="B154" s="680" t="s">
        <v>561</v>
      </c>
      <c r="C154" s="681"/>
      <c r="D154" s="681"/>
      <c r="E154" s="681"/>
      <c r="F154" s="681"/>
      <c r="G154" s="681"/>
      <c r="H154" s="681"/>
      <c r="I154" s="681"/>
      <c r="J154" s="681"/>
      <c r="K154" s="681"/>
      <c r="L154" s="681"/>
      <c r="M154" s="682"/>
      <c r="N154" s="768">
        <f>N91</f>
        <v>1963.67</v>
      </c>
      <c r="O154" s="769"/>
      <c r="P154" s="770"/>
    </row>
    <row r="155" spans="1:17" ht="15.6">
      <c r="A155" s="7" t="s">
        <v>30</v>
      </c>
      <c r="B155" s="680" t="s">
        <v>562</v>
      </c>
      <c r="C155" s="681"/>
      <c r="D155" s="681"/>
      <c r="E155" s="681"/>
      <c r="F155" s="681"/>
      <c r="G155" s="681"/>
      <c r="H155" s="681"/>
      <c r="I155" s="681"/>
      <c r="J155" s="681"/>
      <c r="K155" s="681"/>
      <c r="L155" s="681"/>
      <c r="M155" s="682"/>
      <c r="N155" s="768">
        <f>N101</f>
        <v>61.89</v>
      </c>
      <c r="O155" s="769"/>
      <c r="P155" s="770"/>
    </row>
    <row r="156" spans="1:17" ht="15.6">
      <c r="A156" s="7" t="s">
        <v>32</v>
      </c>
      <c r="B156" s="680" t="s">
        <v>563</v>
      </c>
      <c r="C156" s="681"/>
      <c r="D156" s="681"/>
      <c r="E156" s="681"/>
      <c r="F156" s="681"/>
      <c r="G156" s="681"/>
      <c r="H156" s="681"/>
      <c r="I156" s="681"/>
      <c r="J156" s="681"/>
      <c r="K156" s="681"/>
      <c r="L156" s="681"/>
      <c r="M156" s="682"/>
      <c r="N156" s="768">
        <f>N129</f>
        <v>297.66000000000003</v>
      </c>
      <c r="O156" s="769"/>
      <c r="P156" s="770"/>
    </row>
    <row r="157" spans="1:17" ht="15.6">
      <c r="A157" s="7" t="s">
        <v>56</v>
      </c>
      <c r="B157" s="680" t="s">
        <v>564</v>
      </c>
      <c r="C157" s="681"/>
      <c r="D157" s="681"/>
      <c r="E157" s="681"/>
      <c r="F157" s="681"/>
      <c r="G157" s="681"/>
      <c r="H157" s="681"/>
      <c r="I157" s="681"/>
      <c r="J157" s="681"/>
      <c r="K157" s="681"/>
      <c r="L157" s="681"/>
      <c r="M157" s="682"/>
      <c r="N157" s="768">
        <f>N136</f>
        <v>221.61</v>
      </c>
      <c r="O157" s="769"/>
      <c r="P157" s="770"/>
    </row>
    <row r="158" spans="1:17" ht="15.6">
      <c r="A158" s="633" t="s">
        <v>565</v>
      </c>
      <c r="B158" s="634"/>
      <c r="C158" s="634"/>
      <c r="D158" s="634"/>
      <c r="E158" s="634"/>
      <c r="F158" s="634"/>
      <c r="G158" s="634"/>
      <c r="H158" s="634"/>
      <c r="I158" s="634"/>
      <c r="J158" s="634"/>
      <c r="K158" s="634"/>
      <c r="L158" s="634"/>
      <c r="M158" s="635"/>
      <c r="N158" s="765">
        <f>SUM(N153:P157)</f>
        <v>4496.6899999999996</v>
      </c>
      <c r="O158" s="766"/>
      <c r="P158" s="767"/>
    </row>
    <row r="159" spans="1:17" ht="15.6">
      <c r="A159" s="7" t="s">
        <v>58</v>
      </c>
      <c r="B159" s="680" t="s">
        <v>566</v>
      </c>
      <c r="C159" s="681"/>
      <c r="D159" s="681"/>
      <c r="E159" s="681"/>
      <c r="F159" s="681"/>
      <c r="G159" s="681"/>
      <c r="H159" s="681"/>
      <c r="I159" s="681"/>
      <c r="J159" s="681"/>
      <c r="K159" s="681"/>
      <c r="L159" s="681"/>
      <c r="M159" s="682"/>
      <c r="N159" s="768">
        <f>N147</f>
        <v>1560.07</v>
      </c>
      <c r="O159" s="769"/>
      <c r="P159" s="770"/>
    </row>
    <row r="160" spans="1:17" ht="15.6">
      <c r="A160" s="633" t="s">
        <v>567</v>
      </c>
      <c r="B160" s="634"/>
      <c r="C160" s="634"/>
      <c r="D160" s="634"/>
      <c r="E160" s="634"/>
      <c r="F160" s="634"/>
      <c r="G160" s="634"/>
      <c r="H160" s="634"/>
      <c r="I160" s="634"/>
      <c r="J160" s="634"/>
      <c r="K160" s="634"/>
      <c r="L160" s="634"/>
      <c r="M160" s="635"/>
      <c r="N160" s="765">
        <f>SUM(N158:P159)</f>
        <v>6056.76</v>
      </c>
      <c r="O160" s="766"/>
      <c r="P160" s="767"/>
    </row>
    <row r="161" spans="1:16" ht="15.6">
      <c r="A161" s="633" t="s">
        <v>568</v>
      </c>
      <c r="B161" s="634"/>
      <c r="C161" s="634"/>
      <c r="D161" s="634"/>
      <c r="E161" s="634"/>
      <c r="F161" s="634"/>
      <c r="G161" s="634"/>
      <c r="H161" s="634"/>
      <c r="I161" s="634"/>
      <c r="J161" s="634"/>
      <c r="K161" s="634"/>
      <c r="L161" s="634"/>
      <c r="M161" s="635"/>
      <c r="N161" s="665">
        <f>N160*N20</f>
        <v>6056.76</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20" sqref="N20:P20"/>
    </sheetView>
  </sheetViews>
  <sheetFormatPr defaultColWidth="9.109375" defaultRowHeight="13.2"/>
  <cols>
    <col min="16" max="16" width="10"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CÁLCULO'!B35</f>
        <v>Vitória/ES</v>
      </c>
      <c r="O12" s="740"/>
      <c r="P12" s="741"/>
    </row>
    <row r="13" spans="1:16" ht="15.6">
      <c r="A13" s="7" t="s">
        <v>30</v>
      </c>
      <c r="B13" s="680" t="s">
        <v>455</v>
      </c>
      <c r="C13" s="681"/>
      <c r="D13" s="681"/>
      <c r="E13" s="681"/>
      <c r="F13" s="681"/>
      <c r="G13" s="681"/>
      <c r="H13" s="681"/>
      <c r="I13" s="681"/>
      <c r="J13" s="681"/>
      <c r="K13" s="681"/>
      <c r="L13" s="681"/>
      <c r="M13" s="682"/>
      <c r="N13" s="739" t="str">
        <f>'BASE DE CÁLCULO'!D35</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CÁLCULO'!C35</f>
        <v>Operador de Câmara Frigorífica</v>
      </c>
      <c r="B20" s="625"/>
      <c r="C20" s="625"/>
      <c r="D20" s="626"/>
      <c r="E20" s="751" t="s">
        <v>459</v>
      </c>
      <c r="F20" s="752"/>
      <c r="G20" s="752"/>
      <c r="H20" s="752"/>
      <c r="I20" s="752"/>
      <c r="J20" s="752"/>
      <c r="K20" s="752"/>
      <c r="L20" s="752"/>
      <c r="M20" s="753"/>
      <c r="N20" s="789">
        <f>'BASE DE CÁLCULO'!F35</f>
        <v>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Operador de Câmara Frigorífica</v>
      </c>
      <c r="O30" s="740"/>
      <c r="P30" s="741"/>
    </row>
    <row r="31" spans="1:16" ht="15.6">
      <c r="A31" s="7">
        <v>2</v>
      </c>
      <c r="B31" s="680" t="s">
        <v>466</v>
      </c>
      <c r="C31" s="681"/>
      <c r="D31" s="681"/>
      <c r="E31" s="681"/>
      <c r="F31" s="681"/>
      <c r="G31" s="681"/>
      <c r="H31" s="681"/>
      <c r="I31" s="681"/>
      <c r="J31" s="681"/>
      <c r="K31" s="681"/>
      <c r="L31" s="681"/>
      <c r="M31" s="682"/>
      <c r="N31" s="781" t="s">
        <v>577</v>
      </c>
      <c r="O31" s="779"/>
      <c r="P31" s="780"/>
    </row>
    <row r="32" spans="1:16" ht="15.6">
      <c r="A32" s="7">
        <v>3</v>
      </c>
      <c r="B32" s="680" t="s">
        <v>468</v>
      </c>
      <c r="C32" s="681"/>
      <c r="D32" s="681"/>
      <c r="E32" s="681"/>
      <c r="F32" s="681"/>
      <c r="G32" s="681"/>
      <c r="H32" s="681"/>
      <c r="I32" s="681"/>
      <c r="J32" s="681"/>
      <c r="K32" s="681"/>
      <c r="L32" s="681"/>
      <c r="M32" s="682"/>
      <c r="N32" s="772">
        <f>'BASE DE CÁLCULO'!G35</f>
        <v>1494.03</v>
      </c>
      <c r="O32" s="773"/>
      <c r="P32" s="774"/>
    </row>
    <row r="33" spans="1:16" ht="15.6">
      <c r="A33" s="7">
        <v>4</v>
      </c>
      <c r="B33" s="680" t="s">
        <v>469</v>
      </c>
      <c r="C33" s="681"/>
      <c r="D33" s="681"/>
      <c r="E33" s="681"/>
      <c r="F33" s="681"/>
      <c r="G33" s="681"/>
      <c r="H33" s="681"/>
      <c r="I33" s="681"/>
      <c r="J33" s="681"/>
      <c r="K33" s="681"/>
      <c r="L33" s="681"/>
      <c r="M33" s="682"/>
      <c r="N33" s="782" t="str">
        <f>'BASE DE CÁLCULO'!E35</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1494.03</v>
      </c>
      <c r="O39" s="773"/>
      <c r="P39" s="774"/>
    </row>
    <row r="40" spans="1:16" ht="15.6">
      <c r="A40" s="7" t="s">
        <v>27</v>
      </c>
      <c r="B40" s="680" t="s">
        <v>474</v>
      </c>
      <c r="C40" s="681"/>
      <c r="D40" s="681"/>
      <c r="E40" s="681"/>
      <c r="F40" s="681"/>
      <c r="G40" s="681"/>
      <c r="H40" s="681"/>
      <c r="I40" s="681"/>
      <c r="J40" s="681"/>
      <c r="K40" s="681"/>
      <c r="L40" s="681"/>
      <c r="M40" s="682"/>
      <c r="N40" s="772" t="str">
        <f>'BASE DE CÁLCULO'!I35</f>
        <v>-</v>
      </c>
      <c r="O40" s="773"/>
      <c r="P40" s="774"/>
    </row>
    <row r="41" spans="1:16" ht="15.6">
      <c r="A41" s="7" t="s">
        <v>30</v>
      </c>
      <c r="B41" s="680" t="s">
        <v>475</v>
      </c>
      <c r="C41" s="681"/>
      <c r="D41" s="681"/>
      <c r="E41" s="681"/>
      <c r="F41" s="681"/>
      <c r="G41" s="681"/>
      <c r="H41" s="681"/>
      <c r="I41" s="681"/>
      <c r="J41" s="681"/>
      <c r="K41" s="681"/>
      <c r="L41" s="681"/>
      <c r="M41" s="682"/>
      <c r="N41" s="772">
        <f>'BASE DE CÁLCULO'!J35</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1736.43</v>
      </c>
      <c r="O46" s="776"/>
      <c r="P46" s="777"/>
    </row>
    <row r="47" spans="1:16">
      <c r="A47" s="686" t="s">
        <v>578</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197.95</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263.94</v>
      </c>
      <c r="O53" s="773"/>
      <c r="P53" s="774"/>
    </row>
    <row r="54" spans="1:16" ht="15.6">
      <c r="A54" s="633" t="s">
        <v>480</v>
      </c>
      <c r="B54" s="634"/>
      <c r="C54" s="634"/>
      <c r="D54" s="634"/>
      <c r="E54" s="634"/>
      <c r="F54" s="634"/>
      <c r="G54" s="634"/>
      <c r="H54" s="634"/>
      <c r="I54" s="634"/>
      <c r="J54" s="634"/>
      <c r="K54" s="634"/>
      <c r="L54" s="634"/>
      <c r="M54" s="635"/>
      <c r="N54" s="775">
        <f>SUM(N52:P53)</f>
        <v>461.89</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347.29</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43.41</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52.09</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26.05</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17.36</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10.42</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3.47</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138.91</v>
      </c>
      <c r="O67" s="773"/>
      <c r="P67" s="774"/>
    </row>
    <row r="68" spans="1:16" ht="15.6">
      <c r="A68" s="633" t="s">
        <v>480</v>
      </c>
      <c r="B68" s="634"/>
      <c r="C68" s="634"/>
      <c r="D68" s="634"/>
      <c r="E68" s="634"/>
      <c r="F68" s="634"/>
      <c r="G68" s="634"/>
      <c r="H68" s="634"/>
      <c r="I68" s="634"/>
      <c r="J68" s="634"/>
      <c r="K68" s="635"/>
      <c r="L68" s="798">
        <f>SUM(L60:M67)</f>
        <v>0.36799999999999999</v>
      </c>
      <c r="M68" s="799"/>
      <c r="N68" s="775">
        <f>SUM(N60:P67)</f>
        <v>639</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CÁLCULO'!K35</f>
        <v>131.58000000000001</v>
      </c>
      <c r="O75" s="773"/>
      <c r="P75" s="774"/>
    </row>
    <row r="76" spans="1:16" ht="16.5" customHeight="1">
      <c r="A76" s="7" t="s">
        <v>27</v>
      </c>
      <c r="B76" s="680" t="s">
        <v>331</v>
      </c>
      <c r="C76" s="681"/>
      <c r="D76" s="681"/>
      <c r="E76" s="681"/>
      <c r="F76" s="681"/>
      <c r="G76" s="681"/>
      <c r="H76" s="681"/>
      <c r="I76" s="681"/>
      <c r="J76" s="681"/>
      <c r="K76" s="681"/>
      <c r="L76" s="681"/>
      <c r="M76" s="682"/>
      <c r="N76" s="772">
        <f>'BASE DE CÁLCULO'!L35</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CÁLCULO'!N35</f>
        <v>235.52</v>
      </c>
      <c r="O77" s="773"/>
      <c r="P77" s="774"/>
    </row>
    <row r="78" spans="1:16" ht="15.6">
      <c r="A78" s="7" t="s">
        <v>32</v>
      </c>
      <c r="B78" s="680" t="s">
        <v>509</v>
      </c>
      <c r="C78" s="681"/>
      <c r="D78" s="681"/>
      <c r="E78" s="681"/>
      <c r="F78" s="681"/>
      <c r="G78" s="681"/>
      <c r="H78" s="681"/>
      <c r="I78" s="681"/>
      <c r="J78" s="681"/>
      <c r="K78" s="681"/>
      <c r="L78" s="681"/>
      <c r="M78" s="682"/>
      <c r="N78" s="772">
        <f>'BASE DE CÁLCULO'!M35</f>
        <v>0</v>
      </c>
      <c r="O78" s="773"/>
      <c r="P78" s="774"/>
    </row>
    <row r="79" spans="1:16" ht="15.6">
      <c r="A79" s="7" t="s">
        <v>56</v>
      </c>
      <c r="B79" s="680" t="s">
        <v>510</v>
      </c>
      <c r="C79" s="681"/>
      <c r="D79" s="681"/>
      <c r="E79" s="681"/>
      <c r="F79" s="681"/>
      <c r="G79" s="681"/>
      <c r="H79" s="681"/>
      <c r="I79" s="681"/>
      <c r="J79" s="681"/>
      <c r="K79" s="681"/>
      <c r="L79" s="681"/>
      <c r="M79" s="682"/>
      <c r="N79" s="772">
        <f>'BASE DE CÁLCULO'!Q35</f>
        <v>25.3</v>
      </c>
      <c r="O79" s="773"/>
      <c r="P79" s="774"/>
    </row>
    <row r="80" spans="1:16" ht="15.6">
      <c r="A80" s="7" t="s">
        <v>58</v>
      </c>
      <c r="B80" s="680" t="s">
        <v>511</v>
      </c>
      <c r="C80" s="681"/>
      <c r="D80" s="681"/>
      <c r="E80" s="681"/>
      <c r="F80" s="681"/>
      <c r="G80" s="681"/>
      <c r="H80" s="681"/>
      <c r="I80" s="681"/>
      <c r="J80" s="681"/>
      <c r="K80" s="681"/>
      <c r="L80" s="681"/>
      <c r="M80" s="682"/>
      <c r="N80" s="714">
        <f>'BASE DE CÁLCULO'!S35</f>
        <v>169.62</v>
      </c>
      <c r="O80" s="715"/>
      <c r="P80" s="716"/>
    </row>
    <row r="81" spans="1:16" ht="16.2" customHeight="1">
      <c r="A81" s="7" t="s">
        <v>60</v>
      </c>
      <c r="B81" s="680" t="s">
        <v>334</v>
      </c>
      <c r="C81" s="681"/>
      <c r="D81" s="681"/>
      <c r="E81" s="681"/>
      <c r="F81" s="681"/>
      <c r="G81" s="681"/>
      <c r="H81" s="681"/>
      <c r="I81" s="681"/>
      <c r="J81" s="681"/>
      <c r="K81" s="681"/>
      <c r="L81" s="681"/>
      <c r="M81" s="682"/>
      <c r="N81" s="772">
        <f>'BASE DE CÁLCULO'!R35</f>
        <v>6.43</v>
      </c>
      <c r="O81" s="773"/>
      <c r="P81" s="774"/>
    </row>
    <row r="82" spans="1:16" ht="15.6">
      <c r="A82" s="633" t="s">
        <v>480</v>
      </c>
      <c r="B82" s="634"/>
      <c r="C82" s="634"/>
      <c r="D82" s="634"/>
      <c r="E82" s="634"/>
      <c r="F82" s="634"/>
      <c r="G82" s="634"/>
      <c r="H82" s="634"/>
      <c r="I82" s="634"/>
      <c r="J82" s="634"/>
      <c r="K82" s="634"/>
      <c r="L82" s="634"/>
      <c r="M82" s="635"/>
      <c r="N82" s="775">
        <f>SUM(N75:P81)</f>
        <v>726.56</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461.89</v>
      </c>
      <c r="O88" s="769"/>
      <c r="P88" s="770"/>
    </row>
    <row r="89" spans="1:16" ht="15.6">
      <c r="A89" s="11" t="s">
        <v>491</v>
      </c>
      <c r="B89" s="699" t="s">
        <v>518</v>
      </c>
      <c r="C89" s="700"/>
      <c r="D89" s="700"/>
      <c r="E89" s="700"/>
      <c r="F89" s="700"/>
      <c r="G89" s="700"/>
      <c r="H89" s="700"/>
      <c r="I89" s="700"/>
      <c r="J89" s="700"/>
      <c r="K89" s="700"/>
      <c r="L89" s="700"/>
      <c r="M89" s="701"/>
      <c r="N89" s="769">
        <f>N68</f>
        <v>639</v>
      </c>
      <c r="O89" s="769"/>
      <c r="P89" s="770"/>
    </row>
    <row r="90" spans="1:16" ht="15.6">
      <c r="A90" s="9" t="s">
        <v>506</v>
      </c>
      <c r="B90" s="699" t="s">
        <v>519</v>
      </c>
      <c r="C90" s="700"/>
      <c r="D90" s="700"/>
      <c r="E90" s="700"/>
      <c r="F90" s="700"/>
      <c r="G90" s="700"/>
      <c r="H90" s="700"/>
      <c r="I90" s="700"/>
      <c r="J90" s="700"/>
      <c r="K90" s="700"/>
      <c r="L90" s="700"/>
      <c r="M90" s="701"/>
      <c r="N90" s="769">
        <f>N82</f>
        <v>726.56</v>
      </c>
      <c r="O90" s="769"/>
      <c r="P90" s="770"/>
    </row>
    <row r="91" spans="1:16" ht="15.6">
      <c r="A91" s="633" t="s">
        <v>480</v>
      </c>
      <c r="B91" s="702"/>
      <c r="C91" s="702"/>
      <c r="D91" s="702"/>
      <c r="E91" s="702"/>
      <c r="F91" s="702"/>
      <c r="G91" s="702"/>
      <c r="H91" s="702"/>
      <c r="I91" s="702"/>
      <c r="J91" s="702"/>
      <c r="K91" s="702"/>
      <c r="L91" s="702"/>
      <c r="M91" s="703"/>
      <c r="N91" s="765">
        <f>SUM(N88:P90)</f>
        <v>1827.45</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7.29</v>
      </c>
      <c r="O95" s="769"/>
      <c r="P95" s="770"/>
    </row>
    <row r="96" spans="1:16" ht="15.6">
      <c r="A96" s="7" t="s">
        <v>27</v>
      </c>
      <c r="B96" s="680" t="s">
        <v>522</v>
      </c>
      <c r="C96" s="681"/>
      <c r="D96" s="681"/>
      <c r="E96" s="681"/>
      <c r="F96" s="681"/>
      <c r="G96" s="681"/>
      <c r="H96" s="681"/>
      <c r="I96" s="681"/>
      <c r="J96" s="681"/>
      <c r="K96" s="681"/>
      <c r="L96" s="681"/>
      <c r="M96" s="682"/>
      <c r="N96" s="768">
        <f>N46*'BASE DE CÁLCULO'!C89</f>
        <v>0.52</v>
      </c>
      <c r="O96" s="769"/>
      <c r="P96" s="770"/>
    </row>
    <row r="97" spans="1:16" ht="15.6">
      <c r="A97" s="7" t="s">
        <v>30</v>
      </c>
      <c r="B97" s="680" t="s">
        <v>523</v>
      </c>
      <c r="C97" s="681"/>
      <c r="D97" s="681"/>
      <c r="E97" s="681"/>
      <c r="F97" s="681"/>
      <c r="G97" s="681"/>
      <c r="H97" s="681"/>
      <c r="I97" s="681"/>
      <c r="J97" s="681"/>
      <c r="K97" s="681"/>
      <c r="L97" s="681"/>
      <c r="M97" s="682"/>
      <c r="N97" s="768">
        <f>N46*'BASE DE CÁLCULO'!C90</f>
        <v>0.17</v>
      </c>
      <c r="O97" s="769"/>
      <c r="P97" s="770"/>
    </row>
    <row r="98" spans="1:16" ht="15.6">
      <c r="A98" s="7" t="s">
        <v>32</v>
      </c>
      <c r="B98" s="680" t="s">
        <v>524</v>
      </c>
      <c r="C98" s="681"/>
      <c r="D98" s="681"/>
      <c r="E98" s="681"/>
      <c r="F98" s="681"/>
      <c r="G98" s="681"/>
      <c r="H98" s="681"/>
      <c r="I98" s="681"/>
      <c r="J98" s="681"/>
      <c r="K98" s="681"/>
      <c r="L98" s="681"/>
      <c r="M98" s="682"/>
      <c r="N98" s="768">
        <f>N46*'BASE DE CÁLCULO'!C91</f>
        <v>33.69</v>
      </c>
      <c r="O98" s="769"/>
      <c r="P98" s="770"/>
    </row>
    <row r="99" spans="1:16" ht="15.6">
      <c r="A99" s="7" t="s">
        <v>56</v>
      </c>
      <c r="B99" s="680" t="s">
        <v>525</v>
      </c>
      <c r="C99" s="681"/>
      <c r="D99" s="681"/>
      <c r="E99" s="681"/>
      <c r="F99" s="681"/>
      <c r="G99" s="681"/>
      <c r="H99" s="681"/>
      <c r="I99" s="681"/>
      <c r="J99" s="681"/>
      <c r="K99" s="681"/>
      <c r="L99" s="681"/>
      <c r="M99" s="682"/>
      <c r="N99" s="768">
        <f>N46*'BASE DE CÁLCULO'!C92</f>
        <v>12.33</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1.04</v>
      </c>
      <c r="O100" s="684"/>
      <c r="P100" s="685"/>
    </row>
    <row r="101" spans="1:16" ht="15.6">
      <c r="A101" s="633" t="s">
        <v>480</v>
      </c>
      <c r="B101" s="634"/>
      <c r="C101" s="634"/>
      <c r="D101" s="634"/>
      <c r="E101" s="634"/>
      <c r="F101" s="634"/>
      <c r="G101" s="634"/>
      <c r="H101" s="634"/>
      <c r="I101" s="634"/>
      <c r="J101" s="634"/>
      <c r="K101" s="634"/>
      <c r="L101" s="634"/>
      <c r="M101" s="635"/>
      <c r="N101" s="765">
        <f>SUM(N95:P100)</f>
        <v>55.04</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197.95</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19.8</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32.99</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0.52</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7.99</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4.17</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1.39</v>
      </c>
      <c r="O115" s="769"/>
      <c r="P115" s="770"/>
    </row>
    <row r="116" spans="1:16" ht="15.6">
      <c r="A116" s="633" t="s">
        <v>480</v>
      </c>
      <c r="B116" s="634"/>
      <c r="C116" s="634"/>
      <c r="D116" s="634"/>
      <c r="E116" s="634"/>
      <c r="F116" s="634"/>
      <c r="G116" s="634"/>
      <c r="H116" s="634"/>
      <c r="I116" s="634"/>
      <c r="J116" s="634"/>
      <c r="K116" s="634"/>
      <c r="L116" s="634"/>
      <c r="M116" s="635"/>
      <c r="N116" s="765">
        <f>SUM(N109:P115)</f>
        <v>264.81</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264.81</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264.81</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CÁLCULO'!O35</f>
        <v>194.94</v>
      </c>
      <c r="O133" s="769"/>
      <c r="P133" s="770"/>
    </row>
    <row r="134" spans="1:16" ht="16.5" customHeight="1">
      <c r="A134" s="7" t="s">
        <v>27</v>
      </c>
      <c r="B134" s="680" t="s">
        <v>547</v>
      </c>
      <c r="C134" s="681"/>
      <c r="D134" s="681"/>
      <c r="E134" s="681"/>
      <c r="F134" s="681"/>
      <c r="G134" s="681"/>
      <c r="H134" s="681"/>
      <c r="I134" s="681"/>
      <c r="J134" s="681"/>
      <c r="K134" s="681"/>
      <c r="L134" s="681"/>
      <c r="M134" s="682"/>
      <c r="N134" s="768" t="str">
        <f>'BASE DE CÁLCULO'!P35</f>
        <v>-</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194.94</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203.93</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428.26</v>
      </c>
      <c r="O142" s="684"/>
      <c r="P142" s="685"/>
    </row>
    <row r="143" spans="1:16" ht="16.5" customHeight="1">
      <c r="A143" s="7" t="s">
        <v>30</v>
      </c>
      <c r="B143" s="633" t="s">
        <v>552</v>
      </c>
      <c r="C143" s="634"/>
      <c r="D143" s="634"/>
      <c r="E143" s="634"/>
      <c r="F143" s="634"/>
      <c r="G143" s="634"/>
      <c r="H143" s="634"/>
      <c r="I143" s="634"/>
      <c r="J143" s="634"/>
      <c r="K143" s="635"/>
      <c r="L143" s="694">
        <f>SUM(L144:M146)</f>
        <v>0.14249999999999999</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508.17</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CÁLCULO'!C69</f>
        <v>0.05</v>
      </c>
      <c r="M146" s="626"/>
      <c r="N146" s="683">
        <f>(($N$158+$N$141+$N$142)/(100%-$L$143))*L146</f>
        <v>274.69</v>
      </c>
      <c r="O146" s="684"/>
      <c r="P146" s="685"/>
    </row>
    <row r="147" spans="1:17" ht="15.6">
      <c r="A147" s="633" t="s">
        <v>480</v>
      </c>
      <c r="B147" s="634"/>
      <c r="C147" s="634"/>
      <c r="D147" s="634"/>
      <c r="E147" s="634"/>
      <c r="F147" s="634"/>
      <c r="G147" s="634"/>
      <c r="H147" s="634"/>
      <c r="I147" s="634"/>
      <c r="J147" s="634"/>
      <c r="K147" s="635"/>
      <c r="L147" s="694">
        <f>SUM(L141:M143)</f>
        <v>0.29249999999999998</v>
      </c>
      <c r="M147" s="620"/>
      <c r="N147" s="765">
        <f>SUM(N141:P146)</f>
        <v>1415.05</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1736.43</v>
      </c>
      <c r="O153" s="769"/>
      <c r="P153" s="770"/>
    </row>
    <row r="154" spans="1:17" ht="15.6">
      <c r="A154" s="7" t="s">
        <v>27</v>
      </c>
      <c r="B154" s="680" t="s">
        <v>561</v>
      </c>
      <c r="C154" s="681"/>
      <c r="D154" s="681"/>
      <c r="E154" s="681"/>
      <c r="F154" s="681"/>
      <c r="G154" s="681"/>
      <c r="H154" s="681"/>
      <c r="I154" s="681"/>
      <c r="J154" s="681"/>
      <c r="K154" s="681"/>
      <c r="L154" s="681"/>
      <c r="M154" s="682"/>
      <c r="N154" s="768">
        <f>N91</f>
        <v>1827.45</v>
      </c>
      <c r="O154" s="769"/>
      <c r="P154" s="770"/>
    </row>
    <row r="155" spans="1:17" ht="15.6">
      <c r="A155" s="7" t="s">
        <v>30</v>
      </c>
      <c r="B155" s="680" t="s">
        <v>562</v>
      </c>
      <c r="C155" s="681"/>
      <c r="D155" s="681"/>
      <c r="E155" s="681"/>
      <c r="F155" s="681"/>
      <c r="G155" s="681"/>
      <c r="H155" s="681"/>
      <c r="I155" s="681"/>
      <c r="J155" s="681"/>
      <c r="K155" s="681"/>
      <c r="L155" s="681"/>
      <c r="M155" s="682"/>
      <c r="N155" s="768">
        <f>N101</f>
        <v>55.04</v>
      </c>
      <c r="O155" s="769"/>
      <c r="P155" s="770"/>
    </row>
    <row r="156" spans="1:17" ht="15.6">
      <c r="A156" s="7" t="s">
        <v>32</v>
      </c>
      <c r="B156" s="680" t="s">
        <v>563</v>
      </c>
      <c r="C156" s="681"/>
      <c r="D156" s="681"/>
      <c r="E156" s="681"/>
      <c r="F156" s="681"/>
      <c r="G156" s="681"/>
      <c r="H156" s="681"/>
      <c r="I156" s="681"/>
      <c r="J156" s="681"/>
      <c r="K156" s="681"/>
      <c r="L156" s="681"/>
      <c r="M156" s="682"/>
      <c r="N156" s="768">
        <f>N129</f>
        <v>264.81</v>
      </c>
      <c r="O156" s="769"/>
      <c r="P156" s="770"/>
    </row>
    <row r="157" spans="1:17" ht="15.6">
      <c r="A157" s="7" t="s">
        <v>56</v>
      </c>
      <c r="B157" s="680" t="s">
        <v>564</v>
      </c>
      <c r="C157" s="681"/>
      <c r="D157" s="681"/>
      <c r="E157" s="681"/>
      <c r="F157" s="681"/>
      <c r="G157" s="681"/>
      <c r="H157" s="681"/>
      <c r="I157" s="681"/>
      <c r="J157" s="681"/>
      <c r="K157" s="681"/>
      <c r="L157" s="681"/>
      <c r="M157" s="682"/>
      <c r="N157" s="768">
        <f>N136</f>
        <v>194.94</v>
      </c>
      <c r="O157" s="769"/>
      <c r="P157" s="770"/>
    </row>
    <row r="158" spans="1:17" ht="15.6">
      <c r="A158" s="633" t="s">
        <v>565</v>
      </c>
      <c r="B158" s="634"/>
      <c r="C158" s="634"/>
      <c r="D158" s="634"/>
      <c r="E158" s="634"/>
      <c r="F158" s="634"/>
      <c r="G158" s="634"/>
      <c r="H158" s="634"/>
      <c r="I158" s="634"/>
      <c r="J158" s="634"/>
      <c r="K158" s="634"/>
      <c r="L158" s="634"/>
      <c r="M158" s="635"/>
      <c r="N158" s="765">
        <f>SUM(N153:P157)</f>
        <v>4078.67</v>
      </c>
      <c r="O158" s="766"/>
      <c r="P158" s="767"/>
    </row>
    <row r="159" spans="1:17" ht="15.6">
      <c r="A159" s="7" t="s">
        <v>58</v>
      </c>
      <c r="B159" s="680" t="s">
        <v>566</v>
      </c>
      <c r="C159" s="681"/>
      <c r="D159" s="681"/>
      <c r="E159" s="681"/>
      <c r="F159" s="681"/>
      <c r="G159" s="681"/>
      <c r="H159" s="681"/>
      <c r="I159" s="681"/>
      <c r="J159" s="681"/>
      <c r="K159" s="681"/>
      <c r="L159" s="681"/>
      <c r="M159" s="682"/>
      <c r="N159" s="768">
        <f>N147</f>
        <v>1415.05</v>
      </c>
      <c r="O159" s="769"/>
      <c r="P159" s="770"/>
    </row>
    <row r="160" spans="1:17" ht="15.6">
      <c r="A160" s="633" t="s">
        <v>567</v>
      </c>
      <c r="B160" s="634"/>
      <c r="C160" s="634"/>
      <c r="D160" s="634"/>
      <c r="E160" s="634"/>
      <c r="F160" s="634"/>
      <c r="G160" s="634"/>
      <c r="H160" s="634"/>
      <c r="I160" s="634"/>
      <c r="J160" s="634"/>
      <c r="K160" s="634"/>
      <c r="L160" s="634"/>
      <c r="M160" s="635"/>
      <c r="N160" s="765">
        <f>SUM(N158:P159)</f>
        <v>5493.72</v>
      </c>
      <c r="O160" s="766"/>
      <c r="P160" s="767"/>
    </row>
    <row r="161" spans="1:16" ht="15.6">
      <c r="A161" s="633" t="s">
        <v>568</v>
      </c>
      <c r="B161" s="634"/>
      <c r="C161" s="634"/>
      <c r="D161" s="634"/>
      <c r="E161" s="634"/>
      <c r="F161" s="634"/>
      <c r="G161" s="634"/>
      <c r="H161" s="634"/>
      <c r="I161" s="634"/>
      <c r="J161" s="634"/>
      <c r="K161" s="634"/>
      <c r="L161" s="634"/>
      <c r="M161" s="635"/>
      <c r="N161" s="665">
        <f>N160*N20</f>
        <v>10987.44</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R159" sqref="R159"/>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CÁLCULO'!B37</f>
        <v>Alegre/Jerônimo Monteiro/ES</v>
      </c>
      <c r="O12" s="740"/>
      <c r="P12" s="741"/>
    </row>
    <row r="13" spans="1:16" ht="15.6">
      <c r="A13" s="7" t="s">
        <v>30</v>
      </c>
      <c r="B13" s="680" t="s">
        <v>455</v>
      </c>
      <c r="C13" s="681"/>
      <c r="D13" s="681"/>
      <c r="E13" s="681"/>
      <c r="F13" s="681"/>
      <c r="G13" s="681"/>
      <c r="H13" s="681"/>
      <c r="I13" s="681"/>
      <c r="J13" s="681"/>
      <c r="K13" s="681"/>
      <c r="L13" s="681"/>
      <c r="M13" s="682"/>
      <c r="N13" s="739" t="str">
        <f>'BASE DE CÁLCULO'!D37</f>
        <v>SECOTUH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CÁLCULO'!C37</f>
        <v>Armazenista</v>
      </c>
      <c r="B20" s="625"/>
      <c r="C20" s="625"/>
      <c r="D20" s="626"/>
      <c r="E20" s="751" t="s">
        <v>459</v>
      </c>
      <c r="F20" s="752"/>
      <c r="G20" s="752"/>
      <c r="H20" s="752"/>
      <c r="I20" s="752"/>
      <c r="J20" s="752"/>
      <c r="K20" s="752"/>
      <c r="L20" s="752"/>
      <c r="M20" s="753"/>
      <c r="N20" s="789">
        <f>'BASE DE CÁLCULO'!F37</f>
        <v>1</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Armazenista</v>
      </c>
      <c r="O30" s="740"/>
      <c r="P30" s="741"/>
    </row>
    <row r="31" spans="1:16" ht="15.6">
      <c r="A31" s="7">
        <v>2</v>
      </c>
      <c r="B31" s="680" t="s">
        <v>466</v>
      </c>
      <c r="C31" s="681"/>
      <c r="D31" s="681"/>
      <c r="E31" s="681"/>
      <c r="F31" s="681"/>
      <c r="G31" s="681"/>
      <c r="H31" s="681"/>
      <c r="I31" s="681"/>
      <c r="J31" s="681"/>
      <c r="K31" s="681"/>
      <c r="L31" s="681"/>
      <c r="M31" s="682"/>
      <c r="N31" s="781" t="s">
        <v>467</v>
      </c>
      <c r="O31" s="779"/>
      <c r="P31" s="780"/>
    </row>
    <row r="32" spans="1:16" ht="15.6">
      <c r="A32" s="7">
        <v>3</v>
      </c>
      <c r="B32" s="680" t="s">
        <v>468</v>
      </c>
      <c r="C32" s="681"/>
      <c r="D32" s="681"/>
      <c r="E32" s="681"/>
      <c r="F32" s="681"/>
      <c r="G32" s="681"/>
      <c r="H32" s="681"/>
      <c r="I32" s="681"/>
      <c r="J32" s="681"/>
      <c r="K32" s="681"/>
      <c r="L32" s="681"/>
      <c r="M32" s="682"/>
      <c r="N32" s="772">
        <f>'BASE DE CÁLCULO'!G37</f>
        <v>1331.28</v>
      </c>
      <c r="O32" s="773"/>
      <c r="P32" s="774"/>
    </row>
    <row r="33" spans="1:16" ht="15.6">
      <c r="A33" s="7">
        <v>4</v>
      </c>
      <c r="B33" s="680" t="s">
        <v>469</v>
      </c>
      <c r="C33" s="681"/>
      <c r="D33" s="681"/>
      <c r="E33" s="681"/>
      <c r="F33" s="681"/>
      <c r="G33" s="681"/>
      <c r="H33" s="681"/>
      <c r="I33" s="681"/>
      <c r="J33" s="681"/>
      <c r="K33" s="681"/>
      <c r="L33" s="681"/>
      <c r="M33" s="682"/>
      <c r="N33" s="782" t="str">
        <f>'BASE DE CÁLCULO'!E37</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CÁLCULO'!C14</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803">
        <f>N32</f>
        <v>1331.28</v>
      </c>
      <c r="O39" s="804"/>
      <c r="P39" s="805"/>
    </row>
    <row r="40" spans="1:16" ht="15.6">
      <c r="A40" s="7" t="s">
        <v>27</v>
      </c>
      <c r="B40" s="680" t="s">
        <v>474</v>
      </c>
      <c r="C40" s="681"/>
      <c r="D40" s="681"/>
      <c r="E40" s="681"/>
      <c r="F40" s="681"/>
      <c r="G40" s="681"/>
      <c r="H40" s="681"/>
      <c r="I40" s="681"/>
      <c r="J40" s="681"/>
      <c r="K40" s="681"/>
      <c r="L40" s="681"/>
      <c r="M40" s="682"/>
      <c r="N40" s="803" t="str">
        <f>'BASE DE CÁLCULO'!I37</f>
        <v>-</v>
      </c>
      <c r="O40" s="804"/>
      <c r="P40" s="805"/>
    </row>
    <row r="41" spans="1:16" ht="15.6">
      <c r="A41" s="7" t="s">
        <v>30</v>
      </c>
      <c r="B41" s="680" t="s">
        <v>475</v>
      </c>
      <c r="C41" s="681"/>
      <c r="D41" s="681"/>
      <c r="E41" s="681"/>
      <c r="F41" s="681"/>
      <c r="G41" s="681"/>
      <c r="H41" s="681"/>
      <c r="I41" s="681"/>
      <c r="J41" s="681"/>
      <c r="K41" s="681"/>
      <c r="L41" s="681"/>
      <c r="M41" s="682"/>
      <c r="N41" s="803">
        <f>'BASE DE CÁLCULO'!J37</f>
        <v>242.4</v>
      </c>
      <c r="O41" s="804"/>
      <c r="P41" s="805"/>
    </row>
    <row r="42" spans="1:16" ht="15.6">
      <c r="A42" s="7" t="s">
        <v>32</v>
      </c>
      <c r="B42" s="680" t="s">
        <v>476</v>
      </c>
      <c r="C42" s="681"/>
      <c r="D42" s="681"/>
      <c r="E42" s="681"/>
      <c r="F42" s="681"/>
      <c r="G42" s="681"/>
      <c r="H42" s="681"/>
      <c r="I42" s="681"/>
      <c r="J42" s="681"/>
      <c r="K42" s="681"/>
      <c r="L42" s="681"/>
      <c r="M42" s="682"/>
      <c r="N42" s="803">
        <f>0</f>
        <v>0</v>
      </c>
      <c r="O42" s="804"/>
      <c r="P42" s="805"/>
    </row>
    <row r="43" spans="1:16" ht="15.6">
      <c r="A43" s="7" t="s">
        <v>56</v>
      </c>
      <c r="B43" s="680" t="s">
        <v>477</v>
      </c>
      <c r="C43" s="681"/>
      <c r="D43" s="681"/>
      <c r="E43" s="681"/>
      <c r="F43" s="681"/>
      <c r="G43" s="681"/>
      <c r="H43" s="681"/>
      <c r="I43" s="681"/>
      <c r="J43" s="681"/>
      <c r="K43" s="681"/>
      <c r="L43" s="681"/>
      <c r="M43" s="682"/>
      <c r="N43" s="803">
        <f>0</f>
        <v>0</v>
      </c>
      <c r="O43" s="804"/>
      <c r="P43" s="805"/>
    </row>
    <row r="44" spans="1:16" ht="15.6">
      <c r="A44" s="7" t="s">
        <v>58</v>
      </c>
      <c r="B44" s="680" t="s">
        <v>478</v>
      </c>
      <c r="C44" s="681"/>
      <c r="D44" s="681"/>
      <c r="E44" s="681"/>
      <c r="F44" s="681"/>
      <c r="G44" s="681"/>
      <c r="H44" s="681"/>
      <c r="I44" s="681"/>
      <c r="J44" s="681"/>
      <c r="K44" s="681"/>
      <c r="L44" s="681"/>
      <c r="M44" s="682"/>
      <c r="N44" s="803">
        <f>0</f>
        <v>0</v>
      </c>
      <c r="O44" s="804"/>
      <c r="P44" s="805"/>
    </row>
    <row r="45" spans="1:16" ht="15.6">
      <c r="A45" s="7" t="s">
        <v>60</v>
      </c>
      <c r="B45" s="680" t="s">
        <v>479</v>
      </c>
      <c r="C45" s="681"/>
      <c r="D45" s="681"/>
      <c r="E45" s="681"/>
      <c r="F45" s="681"/>
      <c r="G45" s="681"/>
      <c r="H45" s="681"/>
      <c r="I45" s="681"/>
      <c r="J45" s="681"/>
      <c r="K45" s="681"/>
      <c r="L45" s="681"/>
      <c r="M45" s="682"/>
      <c r="N45" s="803">
        <f>0</f>
        <v>0</v>
      </c>
      <c r="O45" s="804"/>
      <c r="P45" s="805"/>
    </row>
    <row r="46" spans="1:16" ht="15.6">
      <c r="A46" s="633" t="s">
        <v>480</v>
      </c>
      <c r="B46" s="634"/>
      <c r="C46" s="634"/>
      <c r="D46" s="634"/>
      <c r="E46" s="634"/>
      <c r="F46" s="634"/>
      <c r="G46" s="634"/>
      <c r="H46" s="634"/>
      <c r="I46" s="634"/>
      <c r="J46" s="634"/>
      <c r="K46" s="634"/>
      <c r="L46" s="634"/>
      <c r="M46" s="635"/>
      <c r="N46" s="806">
        <f>SUM(N39:P45)</f>
        <v>1573.68</v>
      </c>
      <c r="O46" s="807"/>
      <c r="P46" s="808"/>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803">
        <f>N46*'BASE DE CÁLCULO'!C85</f>
        <v>179.4</v>
      </c>
      <c r="O52" s="804"/>
      <c r="P52" s="805"/>
    </row>
    <row r="53" spans="1:16" ht="15.6">
      <c r="A53" s="7" t="s">
        <v>27</v>
      </c>
      <c r="B53" s="680" t="s">
        <v>487</v>
      </c>
      <c r="C53" s="681"/>
      <c r="D53" s="681"/>
      <c r="E53" s="681"/>
      <c r="F53" s="681"/>
      <c r="G53" s="681"/>
      <c r="H53" s="681"/>
      <c r="I53" s="681"/>
      <c r="J53" s="681"/>
      <c r="K53" s="681"/>
      <c r="L53" s="681"/>
      <c r="M53" s="682"/>
      <c r="N53" s="803">
        <f>(N46*'BASE DE CÁLCULO'!C94)+(N46*'BASE DE CÁLCULO'!C86)</f>
        <v>239.2</v>
      </c>
      <c r="O53" s="804"/>
      <c r="P53" s="805"/>
    </row>
    <row r="54" spans="1:16" ht="15.6">
      <c r="A54" s="633" t="s">
        <v>480</v>
      </c>
      <c r="B54" s="634"/>
      <c r="C54" s="634"/>
      <c r="D54" s="634"/>
      <c r="E54" s="634"/>
      <c r="F54" s="634"/>
      <c r="G54" s="634"/>
      <c r="H54" s="634"/>
      <c r="I54" s="634"/>
      <c r="J54" s="634"/>
      <c r="K54" s="634"/>
      <c r="L54" s="634"/>
      <c r="M54" s="635"/>
      <c r="N54" s="806">
        <f>SUM(N52:P53)</f>
        <v>418.6</v>
      </c>
      <c r="O54" s="807"/>
      <c r="P54" s="808"/>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803">
        <f>N46*L60</f>
        <v>314.74</v>
      </c>
      <c r="O60" s="804"/>
      <c r="P60" s="805"/>
    </row>
    <row r="61" spans="1:16" ht="15.6">
      <c r="A61" s="7" t="s">
        <v>27</v>
      </c>
      <c r="B61" s="680" t="s">
        <v>495</v>
      </c>
      <c r="C61" s="681"/>
      <c r="D61" s="681"/>
      <c r="E61" s="681"/>
      <c r="F61" s="681"/>
      <c r="G61" s="681"/>
      <c r="H61" s="681"/>
      <c r="I61" s="681"/>
      <c r="J61" s="681"/>
      <c r="K61" s="682"/>
      <c r="L61" s="693">
        <f>'BASE DE CÁLCULO'!C80</f>
        <v>2.5000000000000001E-2</v>
      </c>
      <c r="M61" s="723"/>
      <c r="N61" s="803">
        <f>N46*L61</f>
        <v>39.340000000000003</v>
      </c>
      <c r="O61" s="804"/>
      <c r="P61" s="805"/>
    </row>
    <row r="62" spans="1:16" ht="15.6">
      <c r="A62" s="7" t="s">
        <v>30</v>
      </c>
      <c r="B62" s="680" t="s">
        <v>496</v>
      </c>
      <c r="C62" s="681"/>
      <c r="D62" s="681"/>
      <c r="E62" s="681"/>
      <c r="F62" s="681"/>
      <c r="G62" s="681"/>
      <c r="H62" s="681"/>
      <c r="I62" s="681"/>
      <c r="J62" s="681"/>
      <c r="K62" s="682"/>
      <c r="L62" s="726">
        <f>'BASE DE CÁLCULO'!C82</f>
        <v>0.03</v>
      </c>
      <c r="M62" s="727"/>
      <c r="N62" s="803">
        <f>N46*L62</f>
        <v>47.21</v>
      </c>
      <c r="O62" s="804"/>
      <c r="P62" s="805"/>
    </row>
    <row r="63" spans="1:16" ht="15.6">
      <c r="A63" s="7" t="s">
        <v>32</v>
      </c>
      <c r="B63" s="680" t="s">
        <v>497</v>
      </c>
      <c r="C63" s="681"/>
      <c r="D63" s="681"/>
      <c r="E63" s="681"/>
      <c r="F63" s="681"/>
      <c r="G63" s="681"/>
      <c r="H63" s="681"/>
      <c r="I63" s="681"/>
      <c r="J63" s="681"/>
      <c r="K63" s="682"/>
      <c r="L63" s="693">
        <f>'BASE DE CÁLCULO'!C77</f>
        <v>1.4999999999999999E-2</v>
      </c>
      <c r="M63" s="723"/>
      <c r="N63" s="803">
        <f>N46*L63</f>
        <v>23.61</v>
      </c>
      <c r="O63" s="804"/>
      <c r="P63" s="805"/>
    </row>
    <row r="64" spans="1:16" ht="15.6">
      <c r="A64" s="7" t="s">
        <v>56</v>
      </c>
      <c r="B64" s="680" t="s">
        <v>498</v>
      </c>
      <c r="C64" s="681"/>
      <c r="D64" s="681"/>
      <c r="E64" s="681"/>
      <c r="F64" s="681"/>
      <c r="G64" s="681"/>
      <c r="H64" s="681"/>
      <c r="I64" s="681"/>
      <c r="J64" s="681"/>
      <c r="K64" s="682"/>
      <c r="L64" s="693">
        <f>'BASE DE CÁLCULO'!C78</f>
        <v>0.01</v>
      </c>
      <c r="M64" s="723"/>
      <c r="N64" s="803">
        <f>N46*L64</f>
        <v>15.74</v>
      </c>
      <c r="O64" s="804"/>
      <c r="P64" s="805"/>
    </row>
    <row r="65" spans="1:16" ht="15.6">
      <c r="A65" s="7" t="s">
        <v>58</v>
      </c>
      <c r="B65" s="680" t="s">
        <v>499</v>
      </c>
      <c r="C65" s="681"/>
      <c r="D65" s="681"/>
      <c r="E65" s="681"/>
      <c r="F65" s="681"/>
      <c r="G65" s="681"/>
      <c r="H65" s="681"/>
      <c r="I65" s="681"/>
      <c r="J65" s="681"/>
      <c r="K65" s="682"/>
      <c r="L65" s="693">
        <f>'BASE DE CÁLCULO'!C83</f>
        <v>6.0000000000000001E-3</v>
      </c>
      <c r="M65" s="723"/>
      <c r="N65" s="803">
        <f>N46*L65</f>
        <v>9.44</v>
      </c>
      <c r="O65" s="804"/>
      <c r="P65" s="805"/>
    </row>
    <row r="66" spans="1:16" ht="15.6">
      <c r="A66" s="7" t="s">
        <v>60</v>
      </c>
      <c r="B66" s="680" t="s">
        <v>500</v>
      </c>
      <c r="C66" s="681"/>
      <c r="D66" s="681"/>
      <c r="E66" s="681"/>
      <c r="F66" s="681"/>
      <c r="G66" s="681"/>
      <c r="H66" s="681"/>
      <c r="I66" s="681"/>
      <c r="J66" s="681"/>
      <c r="K66" s="682"/>
      <c r="L66" s="693">
        <f>'BASE DE CÁLCULO'!C79</f>
        <v>2E-3</v>
      </c>
      <c r="M66" s="723"/>
      <c r="N66" s="803">
        <f>N46*L66</f>
        <v>3.15</v>
      </c>
      <c r="O66" s="804"/>
      <c r="P66" s="805"/>
    </row>
    <row r="67" spans="1:16" ht="15.6">
      <c r="A67" s="15" t="s">
        <v>62</v>
      </c>
      <c r="B67" s="680" t="s">
        <v>501</v>
      </c>
      <c r="C67" s="681"/>
      <c r="D67" s="681"/>
      <c r="E67" s="681"/>
      <c r="F67" s="681"/>
      <c r="G67" s="681"/>
      <c r="H67" s="681"/>
      <c r="I67" s="681"/>
      <c r="J67" s="681"/>
      <c r="K67" s="682"/>
      <c r="L67" s="693">
        <f>'BASE DE CÁLCULO'!C81</f>
        <v>0.08</v>
      </c>
      <c r="M67" s="723"/>
      <c r="N67" s="803">
        <f>N46*L67</f>
        <v>125.89</v>
      </c>
      <c r="O67" s="804"/>
      <c r="P67" s="805"/>
    </row>
    <row r="68" spans="1:16" ht="15.6">
      <c r="A68" s="633" t="s">
        <v>480</v>
      </c>
      <c r="B68" s="634"/>
      <c r="C68" s="634"/>
      <c r="D68" s="634"/>
      <c r="E68" s="634"/>
      <c r="F68" s="634"/>
      <c r="G68" s="634"/>
      <c r="H68" s="634"/>
      <c r="I68" s="634"/>
      <c r="J68" s="634"/>
      <c r="K68" s="635"/>
      <c r="L68" s="724">
        <f>SUM(L60:M67)</f>
        <v>0.36799999999999999</v>
      </c>
      <c r="M68" s="725"/>
      <c r="N68" s="806">
        <f>SUM(N60:P67)</f>
        <v>579.12</v>
      </c>
      <c r="O68" s="807"/>
      <c r="P68" s="808"/>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803">
        <f>'BASE DE CÁLCULO'!K37</f>
        <v>86.06</v>
      </c>
      <c r="O75" s="804"/>
      <c r="P75" s="805"/>
    </row>
    <row r="76" spans="1:16" ht="16.5" customHeight="1">
      <c r="A76" s="7" t="s">
        <v>27</v>
      </c>
      <c r="B76" s="680" t="s">
        <v>331</v>
      </c>
      <c r="C76" s="681"/>
      <c r="D76" s="681"/>
      <c r="E76" s="681"/>
      <c r="F76" s="681"/>
      <c r="G76" s="681"/>
      <c r="H76" s="681"/>
      <c r="I76" s="681"/>
      <c r="J76" s="681"/>
      <c r="K76" s="681"/>
      <c r="L76" s="681"/>
      <c r="M76" s="682"/>
      <c r="N76" s="803">
        <f>'BASE DE CÁLCULO'!L37</f>
        <v>158.11000000000001</v>
      </c>
      <c r="O76" s="804"/>
      <c r="P76" s="805"/>
    </row>
    <row r="77" spans="1:16" ht="15.6">
      <c r="A77" s="7" t="s">
        <v>30</v>
      </c>
      <c r="B77" s="680" t="s">
        <v>508</v>
      </c>
      <c r="C77" s="681"/>
      <c r="D77" s="681"/>
      <c r="E77" s="681"/>
      <c r="F77" s="681"/>
      <c r="G77" s="681"/>
      <c r="H77" s="681"/>
      <c r="I77" s="681"/>
      <c r="J77" s="681"/>
      <c r="K77" s="681"/>
      <c r="L77" s="681"/>
      <c r="M77" s="682"/>
      <c r="N77" s="803">
        <f>'BASE DE CÁLCULO'!N37</f>
        <v>233.37</v>
      </c>
      <c r="O77" s="804"/>
      <c r="P77" s="805"/>
    </row>
    <row r="78" spans="1:16" ht="15.6">
      <c r="A78" s="7" t="s">
        <v>32</v>
      </c>
      <c r="B78" s="680" t="s">
        <v>509</v>
      </c>
      <c r="C78" s="681"/>
      <c r="D78" s="681"/>
      <c r="E78" s="681"/>
      <c r="F78" s="681"/>
      <c r="G78" s="681"/>
      <c r="H78" s="681"/>
      <c r="I78" s="681"/>
      <c r="J78" s="681"/>
      <c r="K78" s="681"/>
      <c r="L78" s="681"/>
      <c r="M78" s="682"/>
      <c r="N78" s="803">
        <f>'BASE DE CÁLCULO'!M37</f>
        <v>0</v>
      </c>
      <c r="O78" s="804"/>
      <c r="P78" s="805"/>
    </row>
    <row r="79" spans="1:16" ht="15.6">
      <c r="A79" s="7" t="s">
        <v>56</v>
      </c>
      <c r="B79" s="680" t="s">
        <v>510</v>
      </c>
      <c r="C79" s="681"/>
      <c r="D79" s="681"/>
      <c r="E79" s="681"/>
      <c r="F79" s="681"/>
      <c r="G79" s="681"/>
      <c r="H79" s="681"/>
      <c r="I79" s="681"/>
      <c r="J79" s="681"/>
      <c r="K79" s="681"/>
      <c r="L79" s="681"/>
      <c r="M79" s="682"/>
      <c r="N79" s="803">
        <f>'BASE DE CÁLCULO'!Q37</f>
        <v>25.3</v>
      </c>
      <c r="O79" s="804"/>
      <c r="P79" s="805"/>
    </row>
    <row r="80" spans="1:16" ht="15.6">
      <c r="A80" s="7" t="s">
        <v>58</v>
      </c>
      <c r="B80" s="680" t="s">
        <v>511</v>
      </c>
      <c r="C80" s="681"/>
      <c r="D80" s="681"/>
      <c r="E80" s="681"/>
      <c r="F80" s="681"/>
      <c r="G80" s="681"/>
      <c r="H80" s="681"/>
      <c r="I80" s="681"/>
      <c r="J80" s="681"/>
      <c r="K80" s="681"/>
      <c r="L80" s="681"/>
      <c r="M80" s="682"/>
      <c r="N80" s="800">
        <f>'BASE DE CÁLCULO'!S37</f>
        <v>172.87</v>
      </c>
      <c r="O80" s="801"/>
      <c r="P80" s="802"/>
    </row>
    <row r="81" spans="1:16" ht="16.2" customHeight="1">
      <c r="A81" s="7" t="s">
        <v>60</v>
      </c>
      <c r="B81" s="680" t="s">
        <v>334</v>
      </c>
      <c r="C81" s="681"/>
      <c r="D81" s="681"/>
      <c r="E81" s="681"/>
      <c r="F81" s="681"/>
      <c r="G81" s="681"/>
      <c r="H81" s="681"/>
      <c r="I81" s="681"/>
      <c r="J81" s="681"/>
      <c r="K81" s="681"/>
      <c r="L81" s="681"/>
      <c r="M81" s="682"/>
      <c r="N81" s="803">
        <f>'BASE DE CÁLCULO'!R37</f>
        <v>6.43</v>
      </c>
      <c r="O81" s="804"/>
      <c r="P81" s="805"/>
    </row>
    <row r="82" spans="1:16" ht="15.6">
      <c r="A82" s="633" t="s">
        <v>480</v>
      </c>
      <c r="B82" s="634"/>
      <c r="C82" s="634"/>
      <c r="D82" s="634"/>
      <c r="E82" s="634"/>
      <c r="F82" s="634"/>
      <c r="G82" s="634"/>
      <c r="H82" s="634"/>
      <c r="I82" s="634"/>
      <c r="J82" s="634"/>
      <c r="K82" s="634"/>
      <c r="L82" s="634"/>
      <c r="M82" s="635"/>
      <c r="N82" s="806">
        <f>SUM(N75:P81)</f>
        <v>682.14</v>
      </c>
      <c r="O82" s="807"/>
      <c r="P82" s="808"/>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418.6</v>
      </c>
      <c r="O88" s="769"/>
      <c r="P88" s="770"/>
    </row>
    <row r="89" spans="1:16" ht="15.6">
      <c r="A89" s="11" t="s">
        <v>491</v>
      </c>
      <c r="B89" s="699" t="s">
        <v>518</v>
      </c>
      <c r="C89" s="700"/>
      <c r="D89" s="700"/>
      <c r="E89" s="700"/>
      <c r="F89" s="700"/>
      <c r="G89" s="700"/>
      <c r="H89" s="700"/>
      <c r="I89" s="700"/>
      <c r="J89" s="700"/>
      <c r="K89" s="700"/>
      <c r="L89" s="700"/>
      <c r="M89" s="701"/>
      <c r="N89" s="769">
        <f>N68</f>
        <v>579.12</v>
      </c>
      <c r="O89" s="769"/>
      <c r="P89" s="770"/>
    </row>
    <row r="90" spans="1:16" ht="15.6">
      <c r="A90" s="9" t="s">
        <v>506</v>
      </c>
      <c r="B90" s="699" t="s">
        <v>519</v>
      </c>
      <c r="C90" s="700"/>
      <c r="D90" s="700"/>
      <c r="E90" s="700"/>
      <c r="F90" s="700"/>
      <c r="G90" s="700"/>
      <c r="H90" s="700"/>
      <c r="I90" s="700"/>
      <c r="J90" s="700"/>
      <c r="K90" s="700"/>
      <c r="L90" s="700"/>
      <c r="M90" s="701"/>
      <c r="N90" s="769">
        <f>N82</f>
        <v>682.14</v>
      </c>
      <c r="O90" s="769"/>
      <c r="P90" s="770"/>
    </row>
    <row r="91" spans="1:16" ht="15.6">
      <c r="A91" s="633" t="s">
        <v>480</v>
      </c>
      <c r="B91" s="702"/>
      <c r="C91" s="702"/>
      <c r="D91" s="702"/>
      <c r="E91" s="702"/>
      <c r="F91" s="702"/>
      <c r="G91" s="702"/>
      <c r="H91" s="702"/>
      <c r="I91" s="702"/>
      <c r="J91" s="702"/>
      <c r="K91" s="702"/>
      <c r="L91" s="702"/>
      <c r="M91" s="703"/>
      <c r="N91" s="765">
        <f>SUM(N88:P90)</f>
        <v>1679.86</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6.61</v>
      </c>
      <c r="O95" s="769"/>
      <c r="P95" s="770"/>
    </row>
    <row r="96" spans="1:16" ht="15.6">
      <c r="A96" s="7" t="s">
        <v>27</v>
      </c>
      <c r="B96" s="680" t="s">
        <v>522</v>
      </c>
      <c r="C96" s="681"/>
      <c r="D96" s="681"/>
      <c r="E96" s="681"/>
      <c r="F96" s="681"/>
      <c r="G96" s="681"/>
      <c r="H96" s="681"/>
      <c r="I96" s="681"/>
      <c r="J96" s="681"/>
      <c r="K96" s="681"/>
      <c r="L96" s="681"/>
      <c r="M96" s="682"/>
      <c r="N96" s="768">
        <f>N46*'BASE DE CÁLCULO'!C89</f>
        <v>0.47</v>
      </c>
      <c r="O96" s="769"/>
      <c r="P96" s="770"/>
    </row>
    <row r="97" spans="1:16" ht="15.6">
      <c r="A97" s="7" t="s">
        <v>30</v>
      </c>
      <c r="B97" s="680" t="s">
        <v>523</v>
      </c>
      <c r="C97" s="681"/>
      <c r="D97" s="681"/>
      <c r="E97" s="681"/>
      <c r="F97" s="681"/>
      <c r="G97" s="681"/>
      <c r="H97" s="681"/>
      <c r="I97" s="681"/>
      <c r="J97" s="681"/>
      <c r="K97" s="681"/>
      <c r="L97" s="681"/>
      <c r="M97" s="682"/>
      <c r="N97" s="768">
        <f>N46*'BASE DE CÁLCULO'!C90</f>
        <v>0.16</v>
      </c>
      <c r="O97" s="769"/>
      <c r="P97" s="770"/>
    </row>
    <row r="98" spans="1:16" ht="15.6">
      <c r="A98" s="7" t="s">
        <v>32</v>
      </c>
      <c r="B98" s="680" t="s">
        <v>524</v>
      </c>
      <c r="C98" s="681"/>
      <c r="D98" s="681"/>
      <c r="E98" s="681"/>
      <c r="F98" s="681"/>
      <c r="G98" s="681"/>
      <c r="H98" s="681"/>
      <c r="I98" s="681"/>
      <c r="J98" s="681"/>
      <c r="K98" s="681"/>
      <c r="L98" s="681"/>
      <c r="M98" s="682"/>
      <c r="N98" s="768">
        <f>N46*'BASE DE CÁLCULO'!C91</f>
        <v>30.53</v>
      </c>
      <c r="O98" s="769"/>
      <c r="P98" s="770"/>
    </row>
    <row r="99" spans="1:16" ht="15.6">
      <c r="A99" s="7" t="s">
        <v>56</v>
      </c>
      <c r="B99" s="680" t="s">
        <v>525</v>
      </c>
      <c r="C99" s="681"/>
      <c r="D99" s="681"/>
      <c r="E99" s="681"/>
      <c r="F99" s="681"/>
      <c r="G99" s="681"/>
      <c r="H99" s="681"/>
      <c r="I99" s="681"/>
      <c r="J99" s="681"/>
      <c r="K99" s="681"/>
      <c r="L99" s="681"/>
      <c r="M99" s="682"/>
      <c r="N99" s="768">
        <f>N46*'BASE DE CÁLCULO'!C92</f>
        <v>11.17</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0.94</v>
      </c>
      <c r="O100" s="684"/>
      <c r="P100" s="685"/>
    </row>
    <row r="101" spans="1:16" ht="15.6">
      <c r="A101" s="633" t="s">
        <v>480</v>
      </c>
      <c r="B101" s="634"/>
      <c r="C101" s="634"/>
      <c r="D101" s="634"/>
      <c r="E101" s="634"/>
      <c r="F101" s="634"/>
      <c r="G101" s="634"/>
      <c r="H101" s="634"/>
      <c r="I101" s="634"/>
      <c r="J101" s="634"/>
      <c r="K101" s="634"/>
      <c r="L101" s="634"/>
      <c r="M101" s="635"/>
      <c r="N101" s="765">
        <f>SUM(N95:P100)</f>
        <v>49.88</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179.4</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17.940000000000001</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29.9</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0.47</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7.24</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3.78</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1.26</v>
      </c>
      <c r="O115" s="769"/>
      <c r="P115" s="770"/>
    </row>
    <row r="116" spans="1:16" ht="15.6">
      <c r="A116" s="633" t="s">
        <v>480</v>
      </c>
      <c r="B116" s="634"/>
      <c r="C116" s="634"/>
      <c r="D116" s="634"/>
      <c r="E116" s="634"/>
      <c r="F116" s="634"/>
      <c r="G116" s="634"/>
      <c r="H116" s="634"/>
      <c r="I116" s="634"/>
      <c r="J116" s="634"/>
      <c r="K116" s="634"/>
      <c r="L116" s="634"/>
      <c r="M116" s="635"/>
      <c r="N116" s="765">
        <f>SUM(N109:P115)</f>
        <v>239.99</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3.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239.99</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239.99</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CÁLCULO'!O37</f>
        <v>217.55</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CÁLCULO'!P37</f>
        <v>1.37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218.92</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188.12</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395.05</v>
      </c>
      <c r="O142" s="684"/>
      <c r="P142" s="685"/>
    </row>
    <row r="143" spans="1:16" ht="16.5" customHeight="1">
      <c r="A143" s="7" t="s">
        <v>30</v>
      </c>
      <c r="B143" s="633" t="s">
        <v>552</v>
      </c>
      <c r="C143" s="634"/>
      <c r="D143" s="634"/>
      <c r="E143" s="634"/>
      <c r="F143" s="634"/>
      <c r="G143" s="634"/>
      <c r="H143" s="634"/>
      <c r="I143" s="634"/>
      <c r="J143" s="634"/>
      <c r="K143" s="635"/>
      <c r="L143" s="694">
        <f>SUM(L144:M146)</f>
        <v>0.1275</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460.7</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CÁLCULO'!C70</f>
        <v>3.5000000000000003E-2</v>
      </c>
      <c r="M146" s="626"/>
      <c r="N146" s="683">
        <f>(($N$158+$N$141+$N$142)/(100%-$L$143))*L146</f>
        <v>174.32</v>
      </c>
      <c r="O146" s="684"/>
      <c r="P146" s="685"/>
    </row>
    <row r="147" spans="1:17" ht="15.6">
      <c r="A147" s="633" t="s">
        <v>480</v>
      </c>
      <c r="B147" s="634"/>
      <c r="C147" s="634"/>
      <c r="D147" s="634"/>
      <c r="E147" s="634"/>
      <c r="F147" s="634"/>
      <c r="G147" s="634"/>
      <c r="H147" s="634"/>
      <c r="I147" s="634"/>
      <c r="J147" s="634"/>
      <c r="K147" s="635"/>
      <c r="L147" s="694">
        <f>SUM(L141:M143)</f>
        <v>0.27750000000000002</v>
      </c>
      <c r="M147" s="620"/>
      <c r="N147" s="765">
        <f>SUM(N141:P146)</f>
        <v>1218.19</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1573.68</v>
      </c>
      <c r="O153" s="769"/>
      <c r="P153" s="770"/>
    </row>
    <row r="154" spans="1:17" ht="15.6">
      <c r="A154" s="7" t="s">
        <v>27</v>
      </c>
      <c r="B154" s="680" t="s">
        <v>561</v>
      </c>
      <c r="C154" s="681"/>
      <c r="D154" s="681"/>
      <c r="E154" s="681"/>
      <c r="F154" s="681"/>
      <c r="G154" s="681"/>
      <c r="H154" s="681"/>
      <c r="I154" s="681"/>
      <c r="J154" s="681"/>
      <c r="K154" s="681"/>
      <c r="L154" s="681"/>
      <c r="M154" s="682"/>
      <c r="N154" s="768">
        <f>N91</f>
        <v>1679.86</v>
      </c>
      <c r="O154" s="769"/>
      <c r="P154" s="770"/>
    </row>
    <row r="155" spans="1:17" ht="15.6">
      <c r="A155" s="7" t="s">
        <v>30</v>
      </c>
      <c r="B155" s="680" t="s">
        <v>562</v>
      </c>
      <c r="C155" s="681"/>
      <c r="D155" s="681"/>
      <c r="E155" s="681"/>
      <c r="F155" s="681"/>
      <c r="G155" s="681"/>
      <c r="H155" s="681"/>
      <c r="I155" s="681"/>
      <c r="J155" s="681"/>
      <c r="K155" s="681"/>
      <c r="L155" s="681"/>
      <c r="M155" s="682"/>
      <c r="N155" s="768">
        <f>N101</f>
        <v>49.88</v>
      </c>
      <c r="O155" s="769"/>
      <c r="P155" s="770"/>
    </row>
    <row r="156" spans="1:17" ht="15.6">
      <c r="A156" s="7" t="s">
        <v>32</v>
      </c>
      <c r="B156" s="680" t="s">
        <v>563</v>
      </c>
      <c r="C156" s="681"/>
      <c r="D156" s="681"/>
      <c r="E156" s="681"/>
      <c r="F156" s="681"/>
      <c r="G156" s="681"/>
      <c r="H156" s="681"/>
      <c r="I156" s="681"/>
      <c r="J156" s="681"/>
      <c r="K156" s="681"/>
      <c r="L156" s="681"/>
      <c r="M156" s="682"/>
      <c r="N156" s="768">
        <f>N129</f>
        <v>239.99</v>
      </c>
      <c r="O156" s="769"/>
      <c r="P156" s="770"/>
    </row>
    <row r="157" spans="1:17" ht="15.6">
      <c r="A157" s="7" t="s">
        <v>56</v>
      </c>
      <c r="B157" s="680" t="s">
        <v>564</v>
      </c>
      <c r="C157" s="681"/>
      <c r="D157" s="681"/>
      <c r="E157" s="681"/>
      <c r="F157" s="681"/>
      <c r="G157" s="681"/>
      <c r="H157" s="681"/>
      <c r="I157" s="681"/>
      <c r="J157" s="681"/>
      <c r="K157" s="681"/>
      <c r="L157" s="681"/>
      <c r="M157" s="682"/>
      <c r="N157" s="768">
        <f>N136</f>
        <v>218.92</v>
      </c>
      <c r="O157" s="769"/>
      <c r="P157" s="770"/>
    </row>
    <row r="158" spans="1:17" ht="15.6">
      <c r="A158" s="633" t="s">
        <v>565</v>
      </c>
      <c r="B158" s="634"/>
      <c r="C158" s="634"/>
      <c r="D158" s="634"/>
      <c r="E158" s="634"/>
      <c r="F158" s="634"/>
      <c r="G158" s="634"/>
      <c r="H158" s="634"/>
      <c r="I158" s="634"/>
      <c r="J158" s="634"/>
      <c r="K158" s="634"/>
      <c r="L158" s="634"/>
      <c r="M158" s="635"/>
      <c r="N158" s="765">
        <f>SUM(N153:P157)</f>
        <v>3762.33</v>
      </c>
      <c r="O158" s="766"/>
      <c r="P158" s="767"/>
    </row>
    <row r="159" spans="1:17" ht="15.6">
      <c r="A159" s="7" t="s">
        <v>58</v>
      </c>
      <c r="B159" s="680" t="s">
        <v>566</v>
      </c>
      <c r="C159" s="681"/>
      <c r="D159" s="681"/>
      <c r="E159" s="681"/>
      <c r="F159" s="681"/>
      <c r="G159" s="681"/>
      <c r="H159" s="681"/>
      <c r="I159" s="681"/>
      <c r="J159" s="681"/>
      <c r="K159" s="681"/>
      <c r="L159" s="681"/>
      <c r="M159" s="682"/>
      <c r="N159" s="768">
        <f>N147</f>
        <v>1218.19</v>
      </c>
      <c r="O159" s="769"/>
      <c r="P159" s="770"/>
    </row>
    <row r="160" spans="1:17" ht="15.6">
      <c r="A160" s="633" t="s">
        <v>567</v>
      </c>
      <c r="B160" s="634"/>
      <c r="C160" s="634"/>
      <c r="D160" s="634"/>
      <c r="E160" s="634"/>
      <c r="F160" s="634"/>
      <c r="G160" s="634"/>
      <c r="H160" s="634"/>
      <c r="I160" s="634"/>
      <c r="J160" s="634"/>
      <c r="K160" s="634"/>
      <c r="L160" s="634"/>
      <c r="M160" s="635"/>
      <c r="N160" s="765">
        <f>SUM(N158:P159)</f>
        <v>4980.5200000000004</v>
      </c>
      <c r="O160" s="766"/>
      <c r="P160" s="767"/>
    </row>
    <row r="161" spans="1:16" ht="15.6">
      <c r="A161" s="633" t="s">
        <v>568</v>
      </c>
      <c r="B161" s="634"/>
      <c r="C161" s="634"/>
      <c r="D161" s="634"/>
      <c r="E161" s="634"/>
      <c r="F161" s="634"/>
      <c r="G161" s="634"/>
      <c r="H161" s="634"/>
      <c r="I161" s="634"/>
      <c r="J161" s="634"/>
      <c r="K161" s="634"/>
      <c r="L161" s="634"/>
      <c r="M161" s="635"/>
      <c r="N161" s="665">
        <f>N160*N20</f>
        <v>4980.5200000000004</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U156" sqref="U156"/>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CÁLCULO'!B38</f>
        <v>Alegre/Jerônimo Monteiro/ES</v>
      </c>
      <c r="O12" s="740"/>
      <c r="P12" s="741"/>
    </row>
    <row r="13" spans="1:16" ht="15.6">
      <c r="A13" s="7" t="s">
        <v>30</v>
      </c>
      <c r="B13" s="680" t="s">
        <v>455</v>
      </c>
      <c r="C13" s="681"/>
      <c r="D13" s="681"/>
      <c r="E13" s="681"/>
      <c r="F13" s="681"/>
      <c r="G13" s="681"/>
      <c r="H13" s="681"/>
      <c r="I13" s="681"/>
      <c r="J13" s="681"/>
      <c r="K13" s="681"/>
      <c r="L13" s="681"/>
      <c r="M13" s="682"/>
      <c r="N13" s="739" t="str">
        <f>'BASE DE CÁLCULO'!D38</f>
        <v>SECOTUH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CÁLCULO'!C38</f>
        <v>Atendente de Refeitório</v>
      </c>
      <c r="B20" s="625"/>
      <c r="C20" s="625"/>
      <c r="D20" s="626"/>
      <c r="E20" s="751" t="s">
        <v>459</v>
      </c>
      <c r="F20" s="752"/>
      <c r="G20" s="752"/>
      <c r="H20" s="752"/>
      <c r="I20" s="752"/>
      <c r="J20" s="752"/>
      <c r="K20" s="752"/>
      <c r="L20" s="752"/>
      <c r="M20" s="753"/>
      <c r="N20" s="789">
        <f>'BASE DE CÁLCULO'!F38</f>
        <v>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Atendente de Refeitório</v>
      </c>
      <c r="O30" s="740"/>
      <c r="P30" s="741"/>
    </row>
    <row r="31" spans="1:16" ht="15.6">
      <c r="A31" s="7">
        <v>2</v>
      </c>
      <c r="B31" s="680" t="s">
        <v>466</v>
      </c>
      <c r="C31" s="681"/>
      <c r="D31" s="681"/>
      <c r="E31" s="681"/>
      <c r="F31" s="681"/>
      <c r="G31" s="681"/>
      <c r="H31" s="681"/>
      <c r="I31" s="681"/>
      <c r="J31" s="681"/>
      <c r="K31" s="681"/>
      <c r="L31" s="681"/>
      <c r="M31" s="682"/>
      <c r="N31" s="781" t="s">
        <v>569</v>
      </c>
      <c r="O31" s="779"/>
      <c r="P31" s="780"/>
    </row>
    <row r="32" spans="1:16" ht="15.6">
      <c r="A32" s="7">
        <v>3</v>
      </c>
      <c r="B32" s="680" t="s">
        <v>468</v>
      </c>
      <c r="C32" s="681"/>
      <c r="D32" s="681"/>
      <c r="E32" s="681"/>
      <c r="F32" s="681"/>
      <c r="G32" s="681"/>
      <c r="H32" s="681"/>
      <c r="I32" s="681"/>
      <c r="J32" s="681"/>
      <c r="K32" s="681"/>
      <c r="L32" s="681"/>
      <c r="M32" s="682"/>
      <c r="N32" s="772">
        <f>'BASE DE CÁLCULO'!G38</f>
        <v>1304.8</v>
      </c>
      <c r="O32" s="773"/>
      <c r="P32" s="774"/>
    </row>
    <row r="33" spans="1:16" ht="15.6">
      <c r="A33" s="7">
        <v>4</v>
      </c>
      <c r="B33" s="680" t="s">
        <v>469</v>
      </c>
      <c r="C33" s="681"/>
      <c r="D33" s="681"/>
      <c r="E33" s="681"/>
      <c r="F33" s="681"/>
      <c r="G33" s="681"/>
      <c r="H33" s="681"/>
      <c r="I33" s="681"/>
      <c r="J33" s="681"/>
      <c r="K33" s="681"/>
      <c r="L33" s="681"/>
      <c r="M33" s="682"/>
      <c r="N33" s="782" t="str">
        <f>'BASE DE CÁLCULO'!E38</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CÁLCULO'!C14</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1304.8</v>
      </c>
      <c r="O39" s="773"/>
      <c r="P39" s="774"/>
    </row>
    <row r="40" spans="1:16" ht="15.6">
      <c r="A40" s="7" t="s">
        <v>27</v>
      </c>
      <c r="B40" s="680" t="s">
        <v>474</v>
      </c>
      <c r="C40" s="681"/>
      <c r="D40" s="681"/>
      <c r="E40" s="681"/>
      <c r="F40" s="681"/>
      <c r="G40" s="681"/>
      <c r="H40" s="681"/>
      <c r="I40" s="681"/>
      <c r="J40" s="681"/>
      <c r="K40" s="681"/>
      <c r="L40" s="681"/>
      <c r="M40" s="682"/>
      <c r="N40" s="772" t="str">
        <f>'BASE DE CÁLCULO'!I38</f>
        <v>-</v>
      </c>
      <c r="O40" s="773"/>
      <c r="P40" s="774"/>
    </row>
    <row r="41" spans="1:16" ht="15.6">
      <c r="A41" s="7" t="s">
        <v>30</v>
      </c>
      <c r="B41" s="680" t="s">
        <v>475</v>
      </c>
      <c r="C41" s="681"/>
      <c r="D41" s="681"/>
      <c r="E41" s="681"/>
      <c r="F41" s="681"/>
      <c r="G41" s="681"/>
      <c r="H41" s="681"/>
      <c r="I41" s="681"/>
      <c r="J41" s="681"/>
      <c r="K41" s="681"/>
      <c r="L41" s="681"/>
      <c r="M41" s="682"/>
      <c r="N41" s="772" t="str">
        <f>'BASE DE CÁLCULO'!J38</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1304.8</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148.75</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198.33</v>
      </c>
      <c r="O53" s="773"/>
      <c r="P53" s="774"/>
    </row>
    <row r="54" spans="1:16" ht="15.6">
      <c r="A54" s="633" t="s">
        <v>480</v>
      </c>
      <c r="B54" s="634"/>
      <c r="C54" s="634"/>
      <c r="D54" s="634"/>
      <c r="E54" s="634"/>
      <c r="F54" s="634"/>
      <c r="G54" s="634"/>
      <c r="H54" s="634"/>
      <c r="I54" s="634"/>
      <c r="J54" s="634"/>
      <c r="K54" s="634"/>
      <c r="L54" s="634"/>
      <c r="M54" s="635"/>
      <c r="N54" s="775">
        <f>SUM(N52:P53)</f>
        <v>347.08</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260.95999999999998</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32.619999999999997</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39.14</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19.57</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13.05</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7.83</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2.61</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104.38</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480.16</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CÁLCULO'!K38</f>
        <v>86.86</v>
      </c>
      <c r="O75" s="773"/>
      <c r="P75" s="774"/>
    </row>
    <row r="76" spans="1:16" ht="16.5" customHeight="1">
      <c r="A76" s="7" t="s">
        <v>27</v>
      </c>
      <c r="B76" s="680" t="s">
        <v>331</v>
      </c>
      <c r="C76" s="681"/>
      <c r="D76" s="681"/>
      <c r="E76" s="681"/>
      <c r="F76" s="681"/>
      <c r="G76" s="681"/>
      <c r="H76" s="681"/>
      <c r="I76" s="681"/>
      <c r="J76" s="681"/>
      <c r="K76" s="681"/>
      <c r="L76" s="681"/>
      <c r="M76" s="682"/>
      <c r="N76" s="772">
        <f>'BASE DE CÁLCULO'!L38</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CÁLCULO'!N38</f>
        <v>233.37</v>
      </c>
      <c r="O77" s="773"/>
      <c r="P77" s="774"/>
    </row>
    <row r="78" spans="1:16" ht="15.6">
      <c r="A78" s="7" t="s">
        <v>32</v>
      </c>
      <c r="B78" s="680" t="s">
        <v>509</v>
      </c>
      <c r="C78" s="681"/>
      <c r="D78" s="681"/>
      <c r="E78" s="681"/>
      <c r="F78" s="681"/>
      <c r="G78" s="681"/>
      <c r="H78" s="681"/>
      <c r="I78" s="681"/>
      <c r="J78" s="681"/>
      <c r="K78" s="681"/>
      <c r="L78" s="681"/>
      <c r="M78" s="682"/>
      <c r="N78" s="772">
        <f>'BASE DE CÁLCULO'!M38</f>
        <v>0</v>
      </c>
      <c r="O78" s="773"/>
      <c r="P78" s="774"/>
    </row>
    <row r="79" spans="1:16" ht="15.6">
      <c r="A79" s="7" t="s">
        <v>56</v>
      </c>
      <c r="B79" s="680" t="s">
        <v>510</v>
      </c>
      <c r="C79" s="681"/>
      <c r="D79" s="681"/>
      <c r="E79" s="681"/>
      <c r="F79" s="681"/>
      <c r="G79" s="681"/>
      <c r="H79" s="681"/>
      <c r="I79" s="681"/>
      <c r="J79" s="681"/>
      <c r="K79" s="681"/>
      <c r="L79" s="681"/>
      <c r="M79" s="682"/>
      <c r="N79" s="772">
        <f>'BASE DE CÁLCULO'!Q38</f>
        <v>25.3</v>
      </c>
      <c r="O79" s="773"/>
      <c r="P79" s="774"/>
    </row>
    <row r="80" spans="1:16" ht="15.6">
      <c r="A80" s="7" t="s">
        <v>58</v>
      </c>
      <c r="B80" s="680" t="s">
        <v>511</v>
      </c>
      <c r="C80" s="681"/>
      <c r="D80" s="681"/>
      <c r="E80" s="681"/>
      <c r="F80" s="681"/>
      <c r="G80" s="681"/>
      <c r="H80" s="681"/>
      <c r="I80" s="681"/>
      <c r="J80" s="681"/>
      <c r="K80" s="681"/>
      <c r="L80" s="681"/>
      <c r="M80" s="682"/>
      <c r="N80" s="720">
        <f>'BASE DE CÁLCULO'!S38</f>
        <v>173.4</v>
      </c>
      <c r="O80" s="721"/>
      <c r="P80" s="722"/>
    </row>
    <row r="81" spans="1:16" ht="16.2" customHeight="1">
      <c r="A81" s="7" t="s">
        <v>60</v>
      </c>
      <c r="B81" s="680" t="s">
        <v>334</v>
      </c>
      <c r="C81" s="681"/>
      <c r="D81" s="681"/>
      <c r="E81" s="681"/>
      <c r="F81" s="681"/>
      <c r="G81" s="681"/>
      <c r="H81" s="681"/>
      <c r="I81" s="681"/>
      <c r="J81" s="681"/>
      <c r="K81" s="681"/>
      <c r="L81" s="681"/>
      <c r="M81" s="682"/>
      <c r="N81" s="772">
        <f>'BASE DE CÁLCULO'!R38</f>
        <v>6.43</v>
      </c>
      <c r="O81" s="773"/>
      <c r="P81" s="774"/>
    </row>
    <row r="82" spans="1:16" ht="15.6">
      <c r="A82" s="633" t="s">
        <v>480</v>
      </c>
      <c r="B82" s="634"/>
      <c r="C82" s="634"/>
      <c r="D82" s="634"/>
      <c r="E82" s="634"/>
      <c r="F82" s="634"/>
      <c r="G82" s="634"/>
      <c r="H82" s="634"/>
      <c r="I82" s="634"/>
      <c r="J82" s="634"/>
      <c r="K82" s="634"/>
      <c r="L82" s="634"/>
      <c r="M82" s="635"/>
      <c r="N82" s="775">
        <f>SUM(N75:P81)</f>
        <v>683.47</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347.08</v>
      </c>
      <c r="O88" s="769"/>
      <c r="P88" s="770"/>
    </row>
    <row r="89" spans="1:16" ht="15.6">
      <c r="A89" s="11" t="s">
        <v>491</v>
      </c>
      <c r="B89" s="699" t="s">
        <v>518</v>
      </c>
      <c r="C89" s="700"/>
      <c r="D89" s="700"/>
      <c r="E89" s="700"/>
      <c r="F89" s="700"/>
      <c r="G89" s="700"/>
      <c r="H89" s="700"/>
      <c r="I89" s="700"/>
      <c r="J89" s="700"/>
      <c r="K89" s="700"/>
      <c r="L89" s="700"/>
      <c r="M89" s="701"/>
      <c r="N89" s="769">
        <f>N68</f>
        <v>480.16</v>
      </c>
      <c r="O89" s="769"/>
      <c r="P89" s="770"/>
    </row>
    <row r="90" spans="1:16" ht="15.6">
      <c r="A90" s="9" t="s">
        <v>506</v>
      </c>
      <c r="B90" s="699" t="s">
        <v>519</v>
      </c>
      <c r="C90" s="700"/>
      <c r="D90" s="700"/>
      <c r="E90" s="700"/>
      <c r="F90" s="700"/>
      <c r="G90" s="700"/>
      <c r="H90" s="700"/>
      <c r="I90" s="700"/>
      <c r="J90" s="700"/>
      <c r="K90" s="700"/>
      <c r="L90" s="700"/>
      <c r="M90" s="701"/>
      <c r="N90" s="769">
        <f>N82</f>
        <v>683.47</v>
      </c>
      <c r="O90" s="769"/>
      <c r="P90" s="770"/>
    </row>
    <row r="91" spans="1:16" ht="15.6">
      <c r="A91" s="633" t="s">
        <v>480</v>
      </c>
      <c r="B91" s="702"/>
      <c r="C91" s="702"/>
      <c r="D91" s="702"/>
      <c r="E91" s="702"/>
      <c r="F91" s="702"/>
      <c r="G91" s="702"/>
      <c r="H91" s="702"/>
      <c r="I91" s="702"/>
      <c r="J91" s="702"/>
      <c r="K91" s="702"/>
      <c r="L91" s="702"/>
      <c r="M91" s="703"/>
      <c r="N91" s="765">
        <f>SUM(N88:P90)</f>
        <v>1510.71</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5.48</v>
      </c>
      <c r="O95" s="769"/>
      <c r="P95" s="770"/>
    </row>
    <row r="96" spans="1:16" ht="15.6">
      <c r="A96" s="7" t="s">
        <v>27</v>
      </c>
      <c r="B96" s="680" t="s">
        <v>522</v>
      </c>
      <c r="C96" s="681"/>
      <c r="D96" s="681"/>
      <c r="E96" s="681"/>
      <c r="F96" s="681"/>
      <c r="G96" s="681"/>
      <c r="H96" s="681"/>
      <c r="I96" s="681"/>
      <c r="J96" s="681"/>
      <c r="K96" s="681"/>
      <c r="L96" s="681"/>
      <c r="M96" s="682"/>
      <c r="N96" s="768">
        <f>N46*'BASE DE CÁLCULO'!C89</f>
        <v>0.39</v>
      </c>
      <c r="O96" s="769"/>
      <c r="P96" s="770"/>
    </row>
    <row r="97" spans="1:16" ht="15.6">
      <c r="A97" s="7" t="s">
        <v>30</v>
      </c>
      <c r="B97" s="680" t="s">
        <v>523</v>
      </c>
      <c r="C97" s="681"/>
      <c r="D97" s="681"/>
      <c r="E97" s="681"/>
      <c r="F97" s="681"/>
      <c r="G97" s="681"/>
      <c r="H97" s="681"/>
      <c r="I97" s="681"/>
      <c r="J97" s="681"/>
      <c r="K97" s="681"/>
      <c r="L97" s="681"/>
      <c r="M97" s="682"/>
      <c r="N97" s="768">
        <f>N46*'BASE DE CÁLCULO'!C90</f>
        <v>0.13</v>
      </c>
      <c r="O97" s="769"/>
      <c r="P97" s="770"/>
    </row>
    <row r="98" spans="1:16" ht="15.6">
      <c r="A98" s="7" t="s">
        <v>32</v>
      </c>
      <c r="B98" s="680" t="s">
        <v>524</v>
      </c>
      <c r="C98" s="681"/>
      <c r="D98" s="681"/>
      <c r="E98" s="681"/>
      <c r="F98" s="681"/>
      <c r="G98" s="681"/>
      <c r="H98" s="681"/>
      <c r="I98" s="681"/>
      <c r="J98" s="681"/>
      <c r="K98" s="681"/>
      <c r="L98" s="681"/>
      <c r="M98" s="682"/>
      <c r="N98" s="768">
        <f>N46*'BASE DE CÁLCULO'!C91</f>
        <v>25.31</v>
      </c>
      <c r="O98" s="769"/>
      <c r="P98" s="770"/>
    </row>
    <row r="99" spans="1:16" ht="15.6">
      <c r="A99" s="7" t="s">
        <v>56</v>
      </c>
      <c r="B99" s="680" t="s">
        <v>525</v>
      </c>
      <c r="C99" s="681"/>
      <c r="D99" s="681"/>
      <c r="E99" s="681"/>
      <c r="F99" s="681"/>
      <c r="G99" s="681"/>
      <c r="H99" s="681"/>
      <c r="I99" s="681"/>
      <c r="J99" s="681"/>
      <c r="K99" s="681"/>
      <c r="L99" s="681"/>
      <c r="M99" s="682"/>
      <c r="N99" s="768">
        <f>N46*'BASE DE CÁLCULO'!C92</f>
        <v>9.26</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0.78</v>
      </c>
      <c r="O100" s="684"/>
      <c r="P100" s="685"/>
    </row>
    <row r="101" spans="1:16" ht="15.6">
      <c r="A101" s="633" t="s">
        <v>480</v>
      </c>
      <c r="B101" s="634"/>
      <c r="C101" s="634"/>
      <c r="D101" s="634"/>
      <c r="E101" s="634"/>
      <c r="F101" s="634"/>
      <c r="G101" s="634"/>
      <c r="H101" s="634"/>
      <c r="I101" s="634"/>
      <c r="J101" s="634"/>
      <c r="K101" s="634"/>
      <c r="L101" s="634"/>
      <c r="M101" s="635"/>
      <c r="N101" s="765">
        <f>SUM(N95:P100)</f>
        <v>41.35</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148.75</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14.87</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24.79</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0.39</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6</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3.13</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1.04</v>
      </c>
      <c r="O115" s="769"/>
      <c r="P115" s="770"/>
    </row>
    <row r="116" spans="1:16" ht="15.6">
      <c r="A116" s="633" t="s">
        <v>480</v>
      </c>
      <c r="B116" s="634"/>
      <c r="C116" s="634"/>
      <c r="D116" s="634"/>
      <c r="E116" s="634"/>
      <c r="F116" s="634"/>
      <c r="G116" s="634"/>
      <c r="H116" s="634"/>
      <c r="I116" s="634"/>
      <c r="J116" s="634"/>
      <c r="K116" s="634"/>
      <c r="L116" s="634"/>
      <c r="M116" s="635"/>
      <c r="N116" s="765">
        <f>SUM(N109:P115)</f>
        <v>198.97</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198.97</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198.97</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CÁLCULO'!O38</f>
        <v>133.47999999999999</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CÁLCULO'!P38</f>
        <v>1.37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134.85</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159.53</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335.02</v>
      </c>
      <c r="O142" s="684"/>
      <c r="P142" s="685"/>
    </row>
    <row r="143" spans="1:16" ht="16.5" customHeight="1">
      <c r="A143" s="7" t="s">
        <v>30</v>
      </c>
      <c r="B143" s="633" t="s">
        <v>552</v>
      </c>
      <c r="C143" s="634"/>
      <c r="D143" s="634"/>
      <c r="E143" s="634"/>
      <c r="F143" s="634"/>
      <c r="G143" s="634"/>
      <c r="H143" s="634"/>
      <c r="I143" s="634"/>
      <c r="J143" s="634"/>
      <c r="K143" s="635"/>
      <c r="L143" s="694">
        <f>SUM(L144:M146)</f>
        <v>0.1275</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390.7</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CÁLCULO'!C70</f>
        <v>3.5000000000000003E-2</v>
      </c>
      <c r="M146" s="626"/>
      <c r="N146" s="683">
        <f>(($N$158+$N$141+$N$142)/(100%-$L$143))*L146</f>
        <v>147.83000000000001</v>
      </c>
      <c r="O146" s="684"/>
      <c r="P146" s="685"/>
    </row>
    <row r="147" spans="1:17" ht="15.6">
      <c r="A147" s="633" t="s">
        <v>480</v>
      </c>
      <c r="B147" s="634"/>
      <c r="C147" s="634"/>
      <c r="D147" s="634"/>
      <c r="E147" s="634"/>
      <c r="F147" s="634"/>
      <c r="G147" s="634"/>
      <c r="H147" s="634"/>
      <c r="I147" s="634"/>
      <c r="J147" s="634"/>
      <c r="K147" s="635"/>
      <c r="L147" s="694">
        <f>SUM(L141:M143)</f>
        <v>0.27750000000000002</v>
      </c>
      <c r="M147" s="620"/>
      <c r="N147" s="765">
        <f>SUM(N141:P146)</f>
        <v>1033.08</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1304.8</v>
      </c>
      <c r="O153" s="769"/>
      <c r="P153" s="770"/>
    </row>
    <row r="154" spans="1:17" ht="15.6">
      <c r="A154" s="7" t="s">
        <v>27</v>
      </c>
      <c r="B154" s="680" t="s">
        <v>561</v>
      </c>
      <c r="C154" s="681"/>
      <c r="D154" s="681"/>
      <c r="E154" s="681"/>
      <c r="F154" s="681"/>
      <c r="G154" s="681"/>
      <c r="H154" s="681"/>
      <c r="I154" s="681"/>
      <c r="J154" s="681"/>
      <c r="K154" s="681"/>
      <c r="L154" s="681"/>
      <c r="M154" s="682"/>
      <c r="N154" s="768">
        <f>N91</f>
        <v>1510.71</v>
      </c>
      <c r="O154" s="769"/>
      <c r="P154" s="770"/>
    </row>
    <row r="155" spans="1:17" ht="15.6">
      <c r="A155" s="7" t="s">
        <v>30</v>
      </c>
      <c r="B155" s="680" t="s">
        <v>562</v>
      </c>
      <c r="C155" s="681"/>
      <c r="D155" s="681"/>
      <c r="E155" s="681"/>
      <c r="F155" s="681"/>
      <c r="G155" s="681"/>
      <c r="H155" s="681"/>
      <c r="I155" s="681"/>
      <c r="J155" s="681"/>
      <c r="K155" s="681"/>
      <c r="L155" s="681"/>
      <c r="M155" s="682"/>
      <c r="N155" s="768">
        <f>N101</f>
        <v>41.35</v>
      </c>
      <c r="O155" s="769"/>
      <c r="P155" s="770"/>
    </row>
    <row r="156" spans="1:17" ht="15.6">
      <c r="A156" s="7" t="s">
        <v>32</v>
      </c>
      <c r="B156" s="680" t="s">
        <v>563</v>
      </c>
      <c r="C156" s="681"/>
      <c r="D156" s="681"/>
      <c r="E156" s="681"/>
      <c r="F156" s="681"/>
      <c r="G156" s="681"/>
      <c r="H156" s="681"/>
      <c r="I156" s="681"/>
      <c r="J156" s="681"/>
      <c r="K156" s="681"/>
      <c r="L156" s="681"/>
      <c r="M156" s="682"/>
      <c r="N156" s="768">
        <f>N129</f>
        <v>198.97</v>
      </c>
      <c r="O156" s="769"/>
      <c r="P156" s="770"/>
    </row>
    <row r="157" spans="1:17" ht="15.6">
      <c r="A157" s="7" t="s">
        <v>56</v>
      </c>
      <c r="B157" s="680" t="s">
        <v>564</v>
      </c>
      <c r="C157" s="681"/>
      <c r="D157" s="681"/>
      <c r="E157" s="681"/>
      <c r="F157" s="681"/>
      <c r="G157" s="681"/>
      <c r="H157" s="681"/>
      <c r="I157" s="681"/>
      <c r="J157" s="681"/>
      <c r="K157" s="681"/>
      <c r="L157" s="681"/>
      <c r="M157" s="682"/>
      <c r="N157" s="768">
        <f>N136</f>
        <v>134.85</v>
      </c>
      <c r="O157" s="769"/>
      <c r="P157" s="770"/>
    </row>
    <row r="158" spans="1:17" ht="15.6">
      <c r="A158" s="633" t="s">
        <v>565</v>
      </c>
      <c r="B158" s="634"/>
      <c r="C158" s="634"/>
      <c r="D158" s="634"/>
      <c r="E158" s="634"/>
      <c r="F158" s="634"/>
      <c r="G158" s="634"/>
      <c r="H158" s="634"/>
      <c r="I158" s="634"/>
      <c r="J158" s="634"/>
      <c r="K158" s="634"/>
      <c r="L158" s="634"/>
      <c r="M158" s="635"/>
      <c r="N158" s="765">
        <f>SUM(N153:P157)</f>
        <v>3190.68</v>
      </c>
      <c r="O158" s="766"/>
      <c r="P158" s="767"/>
    </row>
    <row r="159" spans="1:17" ht="15.6">
      <c r="A159" s="7" t="s">
        <v>58</v>
      </c>
      <c r="B159" s="680" t="s">
        <v>566</v>
      </c>
      <c r="C159" s="681"/>
      <c r="D159" s="681"/>
      <c r="E159" s="681"/>
      <c r="F159" s="681"/>
      <c r="G159" s="681"/>
      <c r="H159" s="681"/>
      <c r="I159" s="681"/>
      <c r="J159" s="681"/>
      <c r="K159" s="681"/>
      <c r="L159" s="681"/>
      <c r="M159" s="682"/>
      <c r="N159" s="768">
        <f>N147</f>
        <v>1033.08</v>
      </c>
      <c r="O159" s="769"/>
      <c r="P159" s="770"/>
    </row>
    <row r="160" spans="1:17" ht="15.6">
      <c r="A160" s="633" t="s">
        <v>567</v>
      </c>
      <c r="B160" s="634"/>
      <c r="C160" s="634"/>
      <c r="D160" s="634"/>
      <c r="E160" s="634"/>
      <c r="F160" s="634"/>
      <c r="G160" s="634"/>
      <c r="H160" s="634"/>
      <c r="I160" s="634"/>
      <c r="J160" s="634"/>
      <c r="K160" s="634"/>
      <c r="L160" s="634"/>
      <c r="M160" s="635"/>
      <c r="N160" s="765">
        <f>SUM(N158:P159)</f>
        <v>4223.76</v>
      </c>
      <c r="O160" s="766"/>
      <c r="P160" s="767"/>
    </row>
    <row r="161" spans="1:16" ht="15.6">
      <c r="A161" s="633" t="s">
        <v>568</v>
      </c>
      <c r="B161" s="634"/>
      <c r="C161" s="634"/>
      <c r="D161" s="634"/>
      <c r="E161" s="634"/>
      <c r="F161" s="634"/>
      <c r="G161" s="634"/>
      <c r="H161" s="634"/>
      <c r="I161" s="634"/>
      <c r="J161" s="634"/>
      <c r="K161" s="634"/>
      <c r="L161" s="634"/>
      <c r="M161" s="635"/>
      <c r="N161" s="665">
        <f>N160*N20</f>
        <v>8447.52</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T32" sqref="T31:T32"/>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CÁLCULO'!B39</f>
        <v>Alegre/Jerônimo Monteiro/ES</v>
      </c>
      <c r="O12" s="740"/>
      <c r="P12" s="741"/>
    </row>
    <row r="13" spans="1:16" ht="15.6">
      <c r="A13" s="7" t="s">
        <v>30</v>
      </c>
      <c r="B13" s="680" t="s">
        <v>455</v>
      </c>
      <c r="C13" s="681"/>
      <c r="D13" s="681"/>
      <c r="E13" s="681"/>
      <c r="F13" s="681"/>
      <c r="G13" s="681"/>
      <c r="H13" s="681"/>
      <c r="I13" s="681"/>
      <c r="J13" s="681"/>
      <c r="K13" s="681"/>
      <c r="L13" s="681"/>
      <c r="M13" s="682"/>
      <c r="N13" s="739" t="str">
        <f>'BASE DE CÁLCULO'!D39</f>
        <v>SECOTUH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CÁLCULO'!C39</f>
        <v>Auxliar de Cozinha I</v>
      </c>
      <c r="B20" s="625"/>
      <c r="C20" s="625"/>
      <c r="D20" s="626"/>
      <c r="E20" s="751" t="s">
        <v>459</v>
      </c>
      <c r="F20" s="752"/>
      <c r="G20" s="752"/>
      <c r="H20" s="752"/>
      <c r="I20" s="752"/>
      <c r="J20" s="752"/>
      <c r="K20" s="752"/>
      <c r="L20" s="752"/>
      <c r="M20" s="753"/>
      <c r="N20" s="789">
        <f>'BASE DE CÁLCULO'!F39</f>
        <v>12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Auxliar de Cozinha I</v>
      </c>
      <c r="O30" s="740"/>
      <c r="P30" s="741"/>
    </row>
    <row r="31" spans="1:16" ht="15.6">
      <c r="A31" s="7">
        <v>2</v>
      </c>
      <c r="B31" s="680" t="s">
        <v>466</v>
      </c>
      <c r="C31" s="681"/>
      <c r="D31" s="681"/>
      <c r="E31" s="681"/>
      <c r="F31" s="681"/>
      <c r="G31" s="681"/>
      <c r="H31" s="681"/>
      <c r="I31" s="681"/>
      <c r="J31" s="681"/>
      <c r="K31" s="681"/>
      <c r="L31" s="681"/>
      <c r="M31" s="682"/>
      <c r="N31" s="781" t="s">
        <v>570</v>
      </c>
      <c r="O31" s="779"/>
      <c r="P31" s="780"/>
    </row>
    <row r="32" spans="1:16" ht="15.6">
      <c r="A32" s="7">
        <v>3</v>
      </c>
      <c r="B32" s="680" t="s">
        <v>468</v>
      </c>
      <c r="C32" s="681"/>
      <c r="D32" s="681"/>
      <c r="E32" s="681"/>
      <c r="F32" s="681"/>
      <c r="G32" s="681"/>
      <c r="H32" s="681"/>
      <c r="I32" s="681"/>
      <c r="J32" s="681"/>
      <c r="K32" s="681"/>
      <c r="L32" s="681"/>
      <c r="M32" s="682"/>
      <c r="N32" s="772">
        <f>'BASE DE CÁLCULO'!G39</f>
        <v>1304.8</v>
      </c>
      <c r="O32" s="773"/>
      <c r="P32" s="774"/>
    </row>
    <row r="33" spans="1:16" ht="15.6">
      <c r="A33" s="7">
        <v>4</v>
      </c>
      <c r="B33" s="680" t="s">
        <v>469</v>
      </c>
      <c r="C33" s="681"/>
      <c r="D33" s="681"/>
      <c r="E33" s="681"/>
      <c r="F33" s="681"/>
      <c r="G33" s="681"/>
      <c r="H33" s="681"/>
      <c r="I33" s="681"/>
      <c r="J33" s="681"/>
      <c r="K33" s="681"/>
      <c r="L33" s="681"/>
      <c r="M33" s="682"/>
      <c r="N33" s="782" t="str">
        <f>'BASE DE CÁLCULO'!E39</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CÁLCULO'!C14</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1304.8</v>
      </c>
      <c r="O39" s="773"/>
      <c r="P39" s="774"/>
    </row>
    <row r="40" spans="1:16" ht="15.6">
      <c r="A40" s="7" t="s">
        <v>27</v>
      </c>
      <c r="B40" s="680" t="s">
        <v>474</v>
      </c>
      <c r="C40" s="681"/>
      <c r="D40" s="681"/>
      <c r="E40" s="681"/>
      <c r="F40" s="681"/>
      <c r="G40" s="681"/>
      <c r="H40" s="681"/>
      <c r="I40" s="681"/>
      <c r="J40" s="681"/>
      <c r="K40" s="681"/>
      <c r="L40" s="681"/>
      <c r="M40" s="682"/>
      <c r="N40" s="772" t="str">
        <f>'BASE DE CÁLCULO'!I39</f>
        <v>-</v>
      </c>
      <c r="O40" s="773"/>
      <c r="P40" s="774"/>
    </row>
    <row r="41" spans="1:16" ht="15.6">
      <c r="A41" s="7" t="s">
        <v>30</v>
      </c>
      <c r="B41" s="680" t="s">
        <v>475</v>
      </c>
      <c r="C41" s="681"/>
      <c r="D41" s="681"/>
      <c r="E41" s="681"/>
      <c r="F41" s="681"/>
      <c r="G41" s="681"/>
      <c r="H41" s="681"/>
      <c r="I41" s="681"/>
      <c r="J41" s="681"/>
      <c r="K41" s="681"/>
      <c r="L41" s="681"/>
      <c r="M41" s="682"/>
      <c r="N41" s="772">
        <f>'BASE DE CÁLCULO'!J39</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1547.2</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176.38</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235.17</v>
      </c>
      <c r="O53" s="773"/>
      <c r="P53" s="774"/>
    </row>
    <row r="54" spans="1:16" ht="15.6">
      <c r="A54" s="633" t="s">
        <v>480</v>
      </c>
      <c r="B54" s="634"/>
      <c r="C54" s="634"/>
      <c r="D54" s="634"/>
      <c r="E54" s="634"/>
      <c r="F54" s="634"/>
      <c r="G54" s="634"/>
      <c r="H54" s="634"/>
      <c r="I54" s="634"/>
      <c r="J54" s="634"/>
      <c r="K54" s="634"/>
      <c r="L54" s="634"/>
      <c r="M54" s="635"/>
      <c r="N54" s="775">
        <f>SUM(N52:P53)</f>
        <v>411.55</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309.44</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38.68</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46.42</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23.21</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15.47</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9.2799999999999994</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3.09</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123.78</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569.37</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CÁLCULO'!K39</f>
        <v>86.86</v>
      </c>
      <c r="O75" s="773"/>
      <c r="P75" s="774"/>
    </row>
    <row r="76" spans="1:16" ht="16.5" customHeight="1">
      <c r="A76" s="7" t="s">
        <v>27</v>
      </c>
      <c r="B76" s="680" t="s">
        <v>331</v>
      </c>
      <c r="C76" s="681"/>
      <c r="D76" s="681"/>
      <c r="E76" s="681"/>
      <c r="F76" s="681"/>
      <c r="G76" s="681"/>
      <c r="H76" s="681"/>
      <c r="I76" s="681"/>
      <c r="J76" s="681"/>
      <c r="K76" s="681"/>
      <c r="L76" s="681"/>
      <c r="M76" s="682"/>
      <c r="N76" s="772">
        <f>'BASE DE CÁLCULO'!L39</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CÁLCULO'!N39</f>
        <v>233.37</v>
      </c>
      <c r="O77" s="773"/>
      <c r="P77" s="774"/>
    </row>
    <row r="78" spans="1:16" ht="15.6">
      <c r="A78" s="7" t="s">
        <v>32</v>
      </c>
      <c r="B78" s="680" t="s">
        <v>509</v>
      </c>
      <c r="C78" s="681"/>
      <c r="D78" s="681"/>
      <c r="E78" s="681"/>
      <c r="F78" s="681"/>
      <c r="G78" s="681"/>
      <c r="H78" s="681"/>
      <c r="I78" s="681"/>
      <c r="J78" s="681"/>
      <c r="K78" s="681"/>
      <c r="L78" s="681"/>
      <c r="M78" s="682"/>
      <c r="N78" s="772">
        <f>'BASE DE CÁLCULO'!M39</f>
        <v>35.229999999999997</v>
      </c>
      <c r="O78" s="773"/>
      <c r="P78" s="774"/>
    </row>
    <row r="79" spans="1:16" ht="15.6">
      <c r="A79" s="7" t="s">
        <v>56</v>
      </c>
      <c r="B79" s="680" t="s">
        <v>510</v>
      </c>
      <c r="C79" s="681"/>
      <c r="D79" s="681"/>
      <c r="E79" s="681"/>
      <c r="F79" s="681"/>
      <c r="G79" s="681"/>
      <c r="H79" s="681"/>
      <c r="I79" s="681"/>
      <c r="J79" s="681"/>
      <c r="K79" s="681"/>
      <c r="L79" s="681"/>
      <c r="M79" s="682"/>
      <c r="N79" s="772">
        <f>'BASE DE CÁLCULO'!Q39</f>
        <v>25.3</v>
      </c>
      <c r="O79" s="773"/>
      <c r="P79" s="774"/>
    </row>
    <row r="80" spans="1:16" ht="15.6">
      <c r="A80" s="7" t="s">
        <v>58</v>
      </c>
      <c r="B80" s="680" t="s">
        <v>511</v>
      </c>
      <c r="C80" s="681"/>
      <c r="D80" s="681"/>
      <c r="E80" s="681"/>
      <c r="F80" s="681"/>
      <c r="G80" s="681"/>
      <c r="H80" s="681"/>
      <c r="I80" s="681"/>
      <c r="J80" s="681"/>
      <c r="K80" s="681"/>
      <c r="L80" s="681"/>
      <c r="M80" s="682"/>
      <c r="N80" s="720">
        <f>'BASE DE CÁLCULO'!S39</f>
        <v>173.4</v>
      </c>
      <c r="O80" s="721"/>
      <c r="P80" s="722"/>
    </row>
    <row r="81" spans="1:16" ht="16.2" customHeight="1">
      <c r="A81" s="7" t="s">
        <v>60</v>
      </c>
      <c r="B81" s="680" t="s">
        <v>334</v>
      </c>
      <c r="C81" s="681"/>
      <c r="D81" s="681"/>
      <c r="E81" s="681"/>
      <c r="F81" s="681"/>
      <c r="G81" s="681"/>
      <c r="H81" s="681"/>
      <c r="I81" s="681"/>
      <c r="J81" s="681"/>
      <c r="K81" s="681"/>
      <c r="L81" s="681"/>
      <c r="M81" s="682"/>
      <c r="N81" s="772">
        <f>'BASE DE CÁLCULO'!R39</f>
        <v>6.43</v>
      </c>
      <c r="O81" s="773"/>
      <c r="P81" s="774"/>
    </row>
    <row r="82" spans="1:16" ht="15.6">
      <c r="A82" s="633" t="s">
        <v>480</v>
      </c>
      <c r="B82" s="634"/>
      <c r="C82" s="634"/>
      <c r="D82" s="634"/>
      <c r="E82" s="634"/>
      <c r="F82" s="634"/>
      <c r="G82" s="634"/>
      <c r="H82" s="634"/>
      <c r="I82" s="634"/>
      <c r="J82" s="634"/>
      <c r="K82" s="634"/>
      <c r="L82" s="634"/>
      <c r="M82" s="635"/>
      <c r="N82" s="775">
        <f>SUM(N75:P81)</f>
        <v>718.7</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411.55</v>
      </c>
      <c r="O88" s="769"/>
      <c r="P88" s="770"/>
    </row>
    <row r="89" spans="1:16" ht="15.6">
      <c r="A89" s="11" t="s">
        <v>491</v>
      </c>
      <c r="B89" s="699" t="s">
        <v>518</v>
      </c>
      <c r="C89" s="700"/>
      <c r="D89" s="700"/>
      <c r="E89" s="700"/>
      <c r="F89" s="700"/>
      <c r="G89" s="700"/>
      <c r="H89" s="700"/>
      <c r="I89" s="700"/>
      <c r="J89" s="700"/>
      <c r="K89" s="700"/>
      <c r="L89" s="700"/>
      <c r="M89" s="701"/>
      <c r="N89" s="769">
        <f>N68</f>
        <v>569.37</v>
      </c>
      <c r="O89" s="769"/>
      <c r="P89" s="770"/>
    </row>
    <row r="90" spans="1:16" ht="15.6">
      <c r="A90" s="9" t="s">
        <v>506</v>
      </c>
      <c r="B90" s="699" t="s">
        <v>519</v>
      </c>
      <c r="C90" s="700"/>
      <c r="D90" s="700"/>
      <c r="E90" s="700"/>
      <c r="F90" s="700"/>
      <c r="G90" s="700"/>
      <c r="H90" s="700"/>
      <c r="I90" s="700"/>
      <c r="J90" s="700"/>
      <c r="K90" s="700"/>
      <c r="L90" s="700"/>
      <c r="M90" s="701"/>
      <c r="N90" s="769">
        <f>N82</f>
        <v>718.7</v>
      </c>
      <c r="O90" s="769"/>
      <c r="P90" s="770"/>
    </row>
    <row r="91" spans="1:16" ht="15.6">
      <c r="A91" s="633" t="s">
        <v>480</v>
      </c>
      <c r="B91" s="702"/>
      <c r="C91" s="702"/>
      <c r="D91" s="702"/>
      <c r="E91" s="702"/>
      <c r="F91" s="702"/>
      <c r="G91" s="702"/>
      <c r="H91" s="702"/>
      <c r="I91" s="702"/>
      <c r="J91" s="702"/>
      <c r="K91" s="702"/>
      <c r="L91" s="702"/>
      <c r="M91" s="703"/>
      <c r="N91" s="765">
        <f>SUM(N88:P90)</f>
        <v>1699.62</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6.5</v>
      </c>
      <c r="O95" s="769"/>
      <c r="P95" s="770"/>
    </row>
    <row r="96" spans="1:16" ht="15.6">
      <c r="A96" s="7" t="s">
        <v>27</v>
      </c>
      <c r="B96" s="680" t="s">
        <v>522</v>
      </c>
      <c r="C96" s="681"/>
      <c r="D96" s="681"/>
      <c r="E96" s="681"/>
      <c r="F96" s="681"/>
      <c r="G96" s="681"/>
      <c r="H96" s="681"/>
      <c r="I96" s="681"/>
      <c r="J96" s="681"/>
      <c r="K96" s="681"/>
      <c r="L96" s="681"/>
      <c r="M96" s="682"/>
      <c r="N96" s="768">
        <f>N46*'BASE DE CÁLCULO'!C89</f>
        <v>0.46</v>
      </c>
      <c r="O96" s="769"/>
      <c r="P96" s="770"/>
    </row>
    <row r="97" spans="1:16" ht="15.6">
      <c r="A97" s="7" t="s">
        <v>30</v>
      </c>
      <c r="B97" s="680" t="s">
        <v>523</v>
      </c>
      <c r="C97" s="681"/>
      <c r="D97" s="681"/>
      <c r="E97" s="681"/>
      <c r="F97" s="681"/>
      <c r="G97" s="681"/>
      <c r="H97" s="681"/>
      <c r="I97" s="681"/>
      <c r="J97" s="681"/>
      <c r="K97" s="681"/>
      <c r="L97" s="681"/>
      <c r="M97" s="682"/>
      <c r="N97" s="768">
        <f>N46*'BASE DE CÁLCULO'!C90</f>
        <v>0.15</v>
      </c>
      <c r="O97" s="769"/>
      <c r="P97" s="770"/>
    </row>
    <row r="98" spans="1:16" ht="15.6">
      <c r="A98" s="7" t="s">
        <v>32</v>
      </c>
      <c r="B98" s="680" t="s">
        <v>524</v>
      </c>
      <c r="C98" s="681"/>
      <c r="D98" s="681"/>
      <c r="E98" s="681"/>
      <c r="F98" s="681"/>
      <c r="G98" s="681"/>
      <c r="H98" s="681"/>
      <c r="I98" s="681"/>
      <c r="J98" s="681"/>
      <c r="K98" s="681"/>
      <c r="L98" s="681"/>
      <c r="M98" s="682"/>
      <c r="N98" s="768">
        <f>N46*'BASE DE CÁLCULO'!C91</f>
        <v>30.02</v>
      </c>
      <c r="O98" s="769"/>
      <c r="P98" s="770"/>
    </row>
    <row r="99" spans="1:16" ht="15.6">
      <c r="A99" s="7" t="s">
        <v>56</v>
      </c>
      <c r="B99" s="680" t="s">
        <v>525</v>
      </c>
      <c r="C99" s="681"/>
      <c r="D99" s="681"/>
      <c r="E99" s="681"/>
      <c r="F99" s="681"/>
      <c r="G99" s="681"/>
      <c r="H99" s="681"/>
      <c r="I99" s="681"/>
      <c r="J99" s="681"/>
      <c r="K99" s="681"/>
      <c r="L99" s="681"/>
      <c r="M99" s="682"/>
      <c r="N99" s="768">
        <f>N46*'BASE DE CÁLCULO'!C92</f>
        <v>10.99</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0.93</v>
      </c>
      <c r="O100" s="684"/>
      <c r="P100" s="685"/>
    </row>
    <row r="101" spans="1:16" ht="15.6">
      <c r="A101" s="633" t="s">
        <v>480</v>
      </c>
      <c r="B101" s="634"/>
      <c r="C101" s="634"/>
      <c r="D101" s="634"/>
      <c r="E101" s="634"/>
      <c r="F101" s="634"/>
      <c r="G101" s="634"/>
      <c r="H101" s="634"/>
      <c r="I101" s="634"/>
      <c r="J101" s="634"/>
      <c r="K101" s="634"/>
      <c r="L101" s="634"/>
      <c r="M101" s="635"/>
      <c r="N101" s="765">
        <f>SUM(N95:P100)</f>
        <v>49.05</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176.38</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17.64</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29.4</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0.46</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7.12</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3.71</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1.24</v>
      </c>
      <c r="O115" s="769"/>
      <c r="P115" s="770"/>
    </row>
    <row r="116" spans="1:16" ht="15.6">
      <c r="A116" s="633" t="s">
        <v>480</v>
      </c>
      <c r="B116" s="634"/>
      <c r="C116" s="634"/>
      <c r="D116" s="634"/>
      <c r="E116" s="634"/>
      <c r="F116" s="634"/>
      <c r="G116" s="634"/>
      <c r="H116" s="634"/>
      <c r="I116" s="634"/>
      <c r="J116" s="634"/>
      <c r="K116" s="634"/>
      <c r="L116" s="634"/>
      <c r="M116" s="635"/>
      <c r="N116" s="765">
        <f>SUM(N109:P115)</f>
        <v>235.95</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235.95</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235.95</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CÁLCULO'!O39</f>
        <v>259.52999999999997</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CÁLCULO'!P39</f>
        <v>1.37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260.89999999999998</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189.64</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398.24</v>
      </c>
      <c r="O142" s="684"/>
      <c r="P142" s="685"/>
    </row>
    <row r="143" spans="1:16" ht="16.5" customHeight="1">
      <c r="A143" s="7" t="s">
        <v>30</v>
      </c>
      <c r="B143" s="633" t="s">
        <v>552</v>
      </c>
      <c r="C143" s="634"/>
      <c r="D143" s="634"/>
      <c r="E143" s="634"/>
      <c r="F143" s="634"/>
      <c r="G143" s="634"/>
      <c r="H143" s="634"/>
      <c r="I143" s="634"/>
      <c r="J143" s="634"/>
      <c r="K143" s="635"/>
      <c r="L143" s="694">
        <f>SUM(L144:M146)</f>
        <v>0.1275</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464.42</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CÁLCULO'!C70</f>
        <v>3.5000000000000003E-2</v>
      </c>
      <c r="M146" s="626"/>
      <c r="N146" s="683">
        <f>(($N$158+$N$141+$N$142)/(100%-$L$143))*L146</f>
        <v>175.73</v>
      </c>
      <c r="O146" s="684"/>
      <c r="P146" s="685"/>
    </row>
    <row r="147" spans="1:17" ht="15.6">
      <c r="A147" s="633" t="s">
        <v>480</v>
      </c>
      <c r="B147" s="634"/>
      <c r="C147" s="634"/>
      <c r="D147" s="634"/>
      <c r="E147" s="634"/>
      <c r="F147" s="634"/>
      <c r="G147" s="634"/>
      <c r="H147" s="634"/>
      <c r="I147" s="634"/>
      <c r="J147" s="634"/>
      <c r="K147" s="635"/>
      <c r="L147" s="694">
        <f>SUM(L141:M143)</f>
        <v>0.27750000000000002</v>
      </c>
      <c r="M147" s="620"/>
      <c r="N147" s="765">
        <f>SUM(N141:P146)</f>
        <v>1228.03</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1547.2</v>
      </c>
      <c r="O153" s="769"/>
      <c r="P153" s="770"/>
    </row>
    <row r="154" spans="1:17" ht="15.6">
      <c r="A154" s="7" t="s">
        <v>27</v>
      </c>
      <c r="B154" s="680" t="s">
        <v>561</v>
      </c>
      <c r="C154" s="681"/>
      <c r="D154" s="681"/>
      <c r="E154" s="681"/>
      <c r="F154" s="681"/>
      <c r="G154" s="681"/>
      <c r="H154" s="681"/>
      <c r="I154" s="681"/>
      <c r="J154" s="681"/>
      <c r="K154" s="681"/>
      <c r="L154" s="681"/>
      <c r="M154" s="682"/>
      <c r="N154" s="768">
        <f>N91</f>
        <v>1699.62</v>
      </c>
      <c r="O154" s="769"/>
      <c r="P154" s="770"/>
    </row>
    <row r="155" spans="1:17" ht="15.6">
      <c r="A155" s="7" t="s">
        <v>30</v>
      </c>
      <c r="B155" s="680" t="s">
        <v>562</v>
      </c>
      <c r="C155" s="681"/>
      <c r="D155" s="681"/>
      <c r="E155" s="681"/>
      <c r="F155" s="681"/>
      <c r="G155" s="681"/>
      <c r="H155" s="681"/>
      <c r="I155" s="681"/>
      <c r="J155" s="681"/>
      <c r="K155" s="681"/>
      <c r="L155" s="681"/>
      <c r="M155" s="682"/>
      <c r="N155" s="768">
        <f>N101</f>
        <v>49.05</v>
      </c>
      <c r="O155" s="769"/>
      <c r="P155" s="770"/>
    </row>
    <row r="156" spans="1:17" ht="15.6">
      <c r="A156" s="7" t="s">
        <v>32</v>
      </c>
      <c r="B156" s="680" t="s">
        <v>563</v>
      </c>
      <c r="C156" s="681"/>
      <c r="D156" s="681"/>
      <c r="E156" s="681"/>
      <c r="F156" s="681"/>
      <c r="G156" s="681"/>
      <c r="H156" s="681"/>
      <c r="I156" s="681"/>
      <c r="J156" s="681"/>
      <c r="K156" s="681"/>
      <c r="L156" s="681"/>
      <c r="M156" s="682"/>
      <c r="N156" s="768">
        <f>N129</f>
        <v>235.95</v>
      </c>
      <c r="O156" s="769"/>
      <c r="P156" s="770"/>
    </row>
    <row r="157" spans="1:17" ht="15.6">
      <c r="A157" s="7" t="s">
        <v>56</v>
      </c>
      <c r="B157" s="680" t="s">
        <v>564</v>
      </c>
      <c r="C157" s="681"/>
      <c r="D157" s="681"/>
      <c r="E157" s="681"/>
      <c r="F157" s="681"/>
      <c r="G157" s="681"/>
      <c r="H157" s="681"/>
      <c r="I157" s="681"/>
      <c r="J157" s="681"/>
      <c r="K157" s="681"/>
      <c r="L157" s="681"/>
      <c r="M157" s="682"/>
      <c r="N157" s="768">
        <f>N136</f>
        <v>260.89999999999998</v>
      </c>
      <c r="O157" s="769"/>
      <c r="P157" s="770"/>
    </row>
    <row r="158" spans="1:17" ht="15.6">
      <c r="A158" s="633" t="s">
        <v>565</v>
      </c>
      <c r="B158" s="634"/>
      <c r="C158" s="634"/>
      <c r="D158" s="634"/>
      <c r="E158" s="634"/>
      <c r="F158" s="634"/>
      <c r="G158" s="634"/>
      <c r="H158" s="634"/>
      <c r="I158" s="634"/>
      <c r="J158" s="634"/>
      <c r="K158" s="634"/>
      <c r="L158" s="634"/>
      <c r="M158" s="635"/>
      <c r="N158" s="765">
        <f>SUM(N153:P157)</f>
        <v>3792.72</v>
      </c>
      <c r="O158" s="766"/>
      <c r="P158" s="767"/>
    </row>
    <row r="159" spans="1:17" ht="15.6">
      <c r="A159" s="7" t="s">
        <v>58</v>
      </c>
      <c r="B159" s="680" t="s">
        <v>566</v>
      </c>
      <c r="C159" s="681"/>
      <c r="D159" s="681"/>
      <c r="E159" s="681"/>
      <c r="F159" s="681"/>
      <c r="G159" s="681"/>
      <c r="H159" s="681"/>
      <c r="I159" s="681"/>
      <c r="J159" s="681"/>
      <c r="K159" s="681"/>
      <c r="L159" s="681"/>
      <c r="M159" s="682"/>
      <c r="N159" s="768">
        <f>N147</f>
        <v>1228.03</v>
      </c>
      <c r="O159" s="769"/>
      <c r="P159" s="770"/>
    </row>
    <row r="160" spans="1:17" ht="15.6">
      <c r="A160" s="633" t="s">
        <v>567</v>
      </c>
      <c r="B160" s="634"/>
      <c r="C160" s="634"/>
      <c r="D160" s="634"/>
      <c r="E160" s="634"/>
      <c r="F160" s="634"/>
      <c r="G160" s="634"/>
      <c r="H160" s="634"/>
      <c r="I160" s="634"/>
      <c r="J160" s="634"/>
      <c r="K160" s="634"/>
      <c r="L160" s="634"/>
      <c r="M160" s="635"/>
      <c r="N160" s="765">
        <f>SUM(N158:P159)</f>
        <v>5020.75</v>
      </c>
      <c r="O160" s="766"/>
      <c r="P160" s="767"/>
    </row>
    <row r="161" spans="1:16" ht="15.6">
      <c r="A161" s="633" t="s">
        <v>568</v>
      </c>
      <c r="B161" s="634"/>
      <c r="C161" s="634"/>
      <c r="D161" s="634"/>
      <c r="E161" s="634"/>
      <c r="F161" s="634"/>
      <c r="G161" s="634"/>
      <c r="H161" s="634"/>
      <c r="I161" s="634"/>
      <c r="J161" s="634"/>
      <c r="K161" s="634"/>
      <c r="L161" s="634"/>
      <c r="M161" s="635"/>
      <c r="N161" s="665">
        <f>N160*N20</f>
        <v>60249</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20" sqref="N20:P20"/>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CÁLCULO'!B40</f>
        <v>Alegre/Jerônimo Monteiro/ES</v>
      </c>
      <c r="O12" s="740"/>
      <c r="P12" s="741"/>
    </row>
    <row r="13" spans="1:16" ht="15.6">
      <c r="A13" s="7" t="s">
        <v>30</v>
      </c>
      <c r="B13" s="680" t="s">
        <v>455</v>
      </c>
      <c r="C13" s="681"/>
      <c r="D13" s="681"/>
      <c r="E13" s="681"/>
      <c r="F13" s="681"/>
      <c r="G13" s="681"/>
      <c r="H13" s="681"/>
      <c r="I13" s="681"/>
      <c r="J13" s="681"/>
      <c r="K13" s="681"/>
      <c r="L13" s="681"/>
      <c r="M13" s="682"/>
      <c r="N13" s="739" t="str">
        <f>'BASE DE CÁLCULO'!D40</f>
        <v>SECOTUH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CÁLCULO'!C40</f>
        <v>Auxliar de Cozinha II</v>
      </c>
      <c r="B20" s="625"/>
      <c r="C20" s="625"/>
      <c r="D20" s="626"/>
      <c r="E20" s="751" t="s">
        <v>459</v>
      </c>
      <c r="F20" s="752"/>
      <c r="G20" s="752"/>
      <c r="H20" s="752"/>
      <c r="I20" s="752"/>
      <c r="J20" s="752"/>
      <c r="K20" s="752"/>
      <c r="L20" s="752"/>
      <c r="M20" s="753"/>
      <c r="N20" s="789">
        <f>'BASE DE CÁLCULO'!F40</f>
        <v>4</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Auxliar de Cozinha II</v>
      </c>
      <c r="O30" s="740"/>
      <c r="P30" s="741"/>
    </row>
    <row r="31" spans="1:16" ht="15.6">
      <c r="A31" s="7">
        <v>2</v>
      </c>
      <c r="B31" s="680" t="s">
        <v>466</v>
      </c>
      <c r="C31" s="681"/>
      <c r="D31" s="681"/>
      <c r="E31" s="681"/>
      <c r="F31" s="681"/>
      <c r="G31" s="681"/>
      <c r="H31" s="681"/>
      <c r="I31" s="681"/>
      <c r="J31" s="681"/>
      <c r="K31" s="681"/>
      <c r="L31" s="681"/>
      <c r="M31" s="682"/>
      <c r="N31" s="781" t="s">
        <v>570</v>
      </c>
      <c r="O31" s="779"/>
      <c r="P31" s="780"/>
    </row>
    <row r="32" spans="1:16" ht="15.6">
      <c r="A32" s="7">
        <v>3</v>
      </c>
      <c r="B32" s="680" t="s">
        <v>468</v>
      </c>
      <c r="C32" s="681"/>
      <c r="D32" s="681"/>
      <c r="E32" s="681"/>
      <c r="F32" s="681"/>
      <c r="G32" s="681"/>
      <c r="H32" s="681"/>
      <c r="I32" s="681"/>
      <c r="J32" s="681"/>
      <c r="K32" s="681"/>
      <c r="L32" s="681"/>
      <c r="M32" s="682"/>
      <c r="N32" s="772">
        <f>'BASE DE CÁLCULO'!G40</f>
        <v>1435.28</v>
      </c>
      <c r="O32" s="773"/>
      <c r="P32" s="774"/>
    </row>
    <row r="33" spans="1:16" ht="15.6">
      <c r="A33" s="7">
        <v>4</v>
      </c>
      <c r="B33" s="680" t="s">
        <v>469</v>
      </c>
      <c r="C33" s="681"/>
      <c r="D33" s="681"/>
      <c r="E33" s="681"/>
      <c r="F33" s="681"/>
      <c r="G33" s="681"/>
      <c r="H33" s="681"/>
      <c r="I33" s="681"/>
      <c r="J33" s="681"/>
      <c r="K33" s="681"/>
      <c r="L33" s="681"/>
      <c r="M33" s="682"/>
      <c r="N33" s="782" t="str">
        <f>'BASE DE CÁLCULO'!E40</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CÁLCULO'!C14</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1435.28</v>
      </c>
      <c r="O39" s="773"/>
      <c r="P39" s="774"/>
    </row>
    <row r="40" spans="1:16" ht="15.6">
      <c r="A40" s="7" t="s">
        <v>27</v>
      </c>
      <c r="B40" s="680" t="s">
        <v>474</v>
      </c>
      <c r="C40" s="681"/>
      <c r="D40" s="681"/>
      <c r="E40" s="681"/>
      <c r="F40" s="681"/>
      <c r="G40" s="681"/>
      <c r="H40" s="681"/>
      <c r="I40" s="681"/>
      <c r="J40" s="681"/>
      <c r="K40" s="681"/>
      <c r="L40" s="681"/>
      <c r="M40" s="682"/>
      <c r="N40" s="772" t="str">
        <f>'BASE DE CÁLCULO'!I40</f>
        <v>-</v>
      </c>
      <c r="O40" s="773"/>
      <c r="P40" s="774"/>
    </row>
    <row r="41" spans="1:16" ht="15.6">
      <c r="A41" s="7" t="s">
        <v>30</v>
      </c>
      <c r="B41" s="680" t="s">
        <v>475</v>
      </c>
      <c r="C41" s="681"/>
      <c r="D41" s="681"/>
      <c r="E41" s="681"/>
      <c r="F41" s="681"/>
      <c r="G41" s="681"/>
      <c r="H41" s="681"/>
      <c r="I41" s="681"/>
      <c r="J41" s="681"/>
      <c r="K41" s="681"/>
      <c r="L41" s="681"/>
      <c r="M41" s="682"/>
      <c r="N41" s="772">
        <f>'BASE DE CÁLCULO'!J40</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1677.68</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191.26</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255.01</v>
      </c>
      <c r="O53" s="773"/>
      <c r="P53" s="774"/>
    </row>
    <row r="54" spans="1:16" ht="15.6">
      <c r="A54" s="633" t="s">
        <v>480</v>
      </c>
      <c r="B54" s="634"/>
      <c r="C54" s="634"/>
      <c r="D54" s="634"/>
      <c r="E54" s="634"/>
      <c r="F54" s="634"/>
      <c r="G54" s="634"/>
      <c r="H54" s="634"/>
      <c r="I54" s="634"/>
      <c r="J54" s="634"/>
      <c r="K54" s="634"/>
      <c r="L54" s="634"/>
      <c r="M54" s="635"/>
      <c r="N54" s="775">
        <f>SUM(N52:P53)</f>
        <v>446.27</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335.54</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41.94</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50.33</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25.17</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16.78</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10.07</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3.36</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134.21</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617.4</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803">
        <f>'BASE DE CÁLCULO'!K40</f>
        <v>82.94</v>
      </c>
      <c r="O75" s="804"/>
      <c r="P75" s="805"/>
    </row>
    <row r="76" spans="1:16" ht="16.5" customHeight="1">
      <c r="A76" s="7" t="s">
        <v>27</v>
      </c>
      <c r="B76" s="680" t="s">
        <v>331</v>
      </c>
      <c r="C76" s="681"/>
      <c r="D76" s="681"/>
      <c r="E76" s="681"/>
      <c r="F76" s="681"/>
      <c r="G76" s="681"/>
      <c r="H76" s="681"/>
      <c r="I76" s="681"/>
      <c r="J76" s="681"/>
      <c r="K76" s="681"/>
      <c r="L76" s="681"/>
      <c r="M76" s="682"/>
      <c r="N76" s="803">
        <f>'BASE DE CÁLCULO'!L40</f>
        <v>158.11000000000001</v>
      </c>
      <c r="O76" s="804"/>
      <c r="P76" s="805"/>
    </row>
    <row r="77" spans="1:16" ht="15.6">
      <c r="A77" s="7" t="s">
        <v>30</v>
      </c>
      <c r="B77" s="680" t="s">
        <v>508</v>
      </c>
      <c r="C77" s="681"/>
      <c r="D77" s="681"/>
      <c r="E77" s="681"/>
      <c r="F77" s="681"/>
      <c r="G77" s="681"/>
      <c r="H77" s="681"/>
      <c r="I77" s="681"/>
      <c r="J77" s="681"/>
      <c r="K77" s="681"/>
      <c r="L77" s="681"/>
      <c r="M77" s="682"/>
      <c r="N77" s="803">
        <f>'BASE DE CÁLCULO'!N40</f>
        <v>233.37</v>
      </c>
      <c r="O77" s="804"/>
      <c r="P77" s="805"/>
    </row>
    <row r="78" spans="1:16" ht="15.6">
      <c r="A78" s="7" t="s">
        <v>32</v>
      </c>
      <c r="B78" s="680" t="s">
        <v>509</v>
      </c>
      <c r="C78" s="681"/>
      <c r="D78" s="681"/>
      <c r="E78" s="681"/>
      <c r="F78" s="681"/>
      <c r="G78" s="681"/>
      <c r="H78" s="681"/>
      <c r="I78" s="681"/>
      <c r="J78" s="681"/>
      <c r="K78" s="681"/>
      <c r="L78" s="681"/>
      <c r="M78" s="682"/>
      <c r="N78" s="803">
        <f>'BASE DE CÁLCULO'!M40</f>
        <v>0</v>
      </c>
      <c r="O78" s="804"/>
      <c r="P78" s="805"/>
    </row>
    <row r="79" spans="1:16" ht="15.6">
      <c r="A79" s="7" t="s">
        <v>56</v>
      </c>
      <c r="B79" s="680" t="s">
        <v>510</v>
      </c>
      <c r="C79" s="681"/>
      <c r="D79" s="681"/>
      <c r="E79" s="681"/>
      <c r="F79" s="681"/>
      <c r="G79" s="681"/>
      <c r="H79" s="681"/>
      <c r="I79" s="681"/>
      <c r="J79" s="681"/>
      <c r="K79" s="681"/>
      <c r="L79" s="681"/>
      <c r="M79" s="682"/>
      <c r="N79" s="803">
        <f>'BASE DE CÁLCULO'!Q40</f>
        <v>25.3</v>
      </c>
      <c r="O79" s="804"/>
      <c r="P79" s="805"/>
    </row>
    <row r="80" spans="1:16" ht="15.6">
      <c r="A80" s="7" t="s">
        <v>58</v>
      </c>
      <c r="B80" s="680" t="s">
        <v>511</v>
      </c>
      <c r="C80" s="681"/>
      <c r="D80" s="681"/>
      <c r="E80" s="681"/>
      <c r="F80" s="681"/>
      <c r="G80" s="681"/>
      <c r="H80" s="681"/>
      <c r="I80" s="681"/>
      <c r="J80" s="681"/>
      <c r="K80" s="681"/>
      <c r="L80" s="681"/>
      <c r="M80" s="682"/>
      <c r="N80" s="800">
        <f>'BASE DE CÁLCULO'!S40</f>
        <v>170.79</v>
      </c>
      <c r="O80" s="801"/>
      <c r="P80" s="802"/>
    </row>
    <row r="81" spans="1:16" ht="16.2" customHeight="1">
      <c r="A81" s="7" t="s">
        <v>60</v>
      </c>
      <c r="B81" s="680" t="s">
        <v>334</v>
      </c>
      <c r="C81" s="681"/>
      <c r="D81" s="681"/>
      <c r="E81" s="681"/>
      <c r="F81" s="681"/>
      <c r="G81" s="681"/>
      <c r="H81" s="681"/>
      <c r="I81" s="681"/>
      <c r="J81" s="681"/>
      <c r="K81" s="681"/>
      <c r="L81" s="681"/>
      <c r="M81" s="682"/>
      <c r="N81" s="803">
        <f>'BASE DE CÁLCULO'!R40</f>
        <v>6.43</v>
      </c>
      <c r="O81" s="804"/>
      <c r="P81" s="805"/>
    </row>
    <row r="82" spans="1:16" ht="15.6">
      <c r="A82" s="633" t="s">
        <v>480</v>
      </c>
      <c r="B82" s="634"/>
      <c r="C82" s="634"/>
      <c r="D82" s="634"/>
      <c r="E82" s="634"/>
      <c r="F82" s="634"/>
      <c r="G82" s="634"/>
      <c r="H82" s="634"/>
      <c r="I82" s="634"/>
      <c r="J82" s="634"/>
      <c r="K82" s="634"/>
      <c r="L82" s="634"/>
      <c r="M82" s="635"/>
      <c r="N82" s="775">
        <f>SUM(N75:P81)</f>
        <v>676.94</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446.27</v>
      </c>
      <c r="O88" s="769"/>
      <c r="P88" s="770"/>
    </row>
    <row r="89" spans="1:16" ht="15.6">
      <c r="A89" s="11" t="s">
        <v>491</v>
      </c>
      <c r="B89" s="699" t="s">
        <v>518</v>
      </c>
      <c r="C89" s="700"/>
      <c r="D89" s="700"/>
      <c r="E89" s="700"/>
      <c r="F89" s="700"/>
      <c r="G89" s="700"/>
      <c r="H89" s="700"/>
      <c r="I89" s="700"/>
      <c r="J89" s="700"/>
      <c r="K89" s="700"/>
      <c r="L89" s="700"/>
      <c r="M89" s="701"/>
      <c r="N89" s="769">
        <f>N68</f>
        <v>617.4</v>
      </c>
      <c r="O89" s="769"/>
      <c r="P89" s="770"/>
    </row>
    <row r="90" spans="1:16" ht="15.6">
      <c r="A90" s="9" t="s">
        <v>506</v>
      </c>
      <c r="B90" s="699" t="s">
        <v>519</v>
      </c>
      <c r="C90" s="700"/>
      <c r="D90" s="700"/>
      <c r="E90" s="700"/>
      <c r="F90" s="700"/>
      <c r="G90" s="700"/>
      <c r="H90" s="700"/>
      <c r="I90" s="700"/>
      <c r="J90" s="700"/>
      <c r="K90" s="700"/>
      <c r="L90" s="700"/>
      <c r="M90" s="701"/>
      <c r="N90" s="769">
        <f>N82</f>
        <v>676.94</v>
      </c>
      <c r="O90" s="769"/>
      <c r="P90" s="770"/>
    </row>
    <row r="91" spans="1:16" ht="15.6">
      <c r="A91" s="633" t="s">
        <v>480</v>
      </c>
      <c r="B91" s="702"/>
      <c r="C91" s="702"/>
      <c r="D91" s="702"/>
      <c r="E91" s="702"/>
      <c r="F91" s="702"/>
      <c r="G91" s="702"/>
      <c r="H91" s="702"/>
      <c r="I91" s="702"/>
      <c r="J91" s="702"/>
      <c r="K91" s="702"/>
      <c r="L91" s="702"/>
      <c r="M91" s="703"/>
      <c r="N91" s="765">
        <f>SUM(N88:P90)</f>
        <v>1740.61</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7.05</v>
      </c>
      <c r="O95" s="769"/>
      <c r="P95" s="770"/>
    </row>
    <row r="96" spans="1:16" ht="15.6">
      <c r="A96" s="7" t="s">
        <v>27</v>
      </c>
      <c r="B96" s="680" t="s">
        <v>522</v>
      </c>
      <c r="C96" s="681"/>
      <c r="D96" s="681"/>
      <c r="E96" s="681"/>
      <c r="F96" s="681"/>
      <c r="G96" s="681"/>
      <c r="H96" s="681"/>
      <c r="I96" s="681"/>
      <c r="J96" s="681"/>
      <c r="K96" s="681"/>
      <c r="L96" s="681"/>
      <c r="M96" s="682"/>
      <c r="N96" s="768">
        <f>N46*'BASE DE CÁLCULO'!C89</f>
        <v>0.5</v>
      </c>
      <c r="O96" s="769"/>
      <c r="P96" s="770"/>
    </row>
    <row r="97" spans="1:16" ht="15.6">
      <c r="A97" s="7" t="s">
        <v>30</v>
      </c>
      <c r="B97" s="680" t="s">
        <v>523</v>
      </c>
      <c r="C97" s="681"/>
      <c r="D97" s="681"/>
      <c r="E97" s="681"/>
      <c r="F97" s="681"/>
      <c r="G97" s="681"/>
      <c r="H97" s="681"/>
      <c r="I97" s="681"/>
      <c r="J97" s="681"/>
      <c r="K97" s="681"/>
      <c r="L97" s="681"/>
      <c r="M97" s="682"/>
      <c r="N97" s="768">
        <f>N46*'BASE DE CÁLCULO'!C90</f>
        <v>0.17</v>
      </c>
      <c r="O97" s="769"/>
      <c r="P97" s="770"/>
    </row>
    <row r="98" spans="1:16" ht="15.6">
      <c r="A98" s="7" t="s">
        <v>32</v>
      </c>
      <c r="B98" s="680" t="s">
        <v>524</v>
      </c>
      <c r="C98" s="681"/>
      <c r="D98" s="681"/>
      <c r="E98" s="681"/>
      <c r="F98" s="681"/>
      <c r="G98" s="681"/>
      <c r="H98" s="681"/>
      <c r="I98" s="681"/>
      <c r="J98" s="681"/>
      <c r="K98" s="681"/>
      <c r="L98" s="681"/>
      <c r="M98" s="682"/>
      <c r="N98" s="768">
        <f>N46*'BASE DE CÁLCULO'!C91</f>
        <v>32.549999999999997</v>
      </c>
      <c r="O98" s="769"/>
      <c r="P98" s="770"/>
    </row>
    <row r="99" spans="1:16" ht="15.6">
      <c r="A99" s="7" t="s">
        <v>56</v>
      </c>
      <c r="B99" s="680" t="s">
        <v>525</v>
      </c>
      <c r="C99" s="681"/>
      <c r="D99" s="681"/>
      <c r="E99" s="681"/>
      <c r="F99" s="681"/>
      <c r="G99" s="681"/>
      <c r="H99" s="681"/>
      <c r="I99" s="681"/>
      <c r="J99" s="681"/>
      <c r="K99" s="681"/>
      <c r="L99" s="681"/>
      <c r="M99" s="682"/>
      <c r="N99" s="768">
        <f>N46*'BASE DE CÁLCULO'!C92</f>
        <v>11.91</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1.01</v>
      </c>
      <c r="O100" s="684"/>
      <c r="P100" s="685"/>
    </row>
    <row r="101" spans="1:16" ht="15.6">
      <c r="A101" s="633" t="s">
        <v>480</v>
      </c>
      <c r="B101" s="634"/>
      <c r="C101" s="634"/>
      <c r="D101" s="634"/>
      <c r="E101" s="634"/>
      <c r="F101" s="634"/>
      <c r="G101" s="634"/>
      <c r="H101" s="634"/>
      <c r="I101" s="634"/>
      <c r="J101" s="634"/>
      <c r="K101" s="634"/>
      <c r="L101" s="634"/>
      <c r="M101" s="635"/>
      <c r="N101" s="765">
        <f>SUM(N95:P100)</f>
        <v>53.19</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191.26</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19.13</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31.88</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7.72</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4.03</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1.34</v>
      </c>
      <c r="O115" s="769"/>
      <c r="P115" s="770"/>
    </row>
    <row r="116" spans="1:16" ht="15.6">
      <c r="A116" s="633" t="s">
        <v>480</v>
      </c>
      <c r="B116" s="634"/>
      <c r="C116" s="634"/>
      <c r="D116" s="634"/>
      <c r="E116" s="634"/>
      <c r="F116" s="634"/>
      <c r="G116" s="634"/>
      <c r="H116" s="634"/>
      <c r="I116" s="634"/>
      <c r="J116" s="634"/>
      <c r="K116" s="634"/>
      <c r="L116" s="634"/>
      <c r="M116" s="635"/>
      <c r="N116" s="765">
        <f>SUM(N109:P115)</f>
        <v>255.86</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5.7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255.86</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255.86</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CÁLCULO'!O40</f>
        <v>344.35</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CÁLCULO'!P40</f>
        <v>1.37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345.72</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203.65</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427.67</v>
      </c>
      <c r="O142" s="684"/>
      <c r="P142" s="685"/>
    </row>
    <row r="143" spans="1:16" ht="16.5" customHeight="1">
      <c r="A143" s="7" t="s">
        <v>30</v>
      </c>
      <c r="B143" s="633" t="s">
        <v>552</v>
      </c>
      <c r="C143" s="634"/>
      <c r="D143" s="634"/>
      <c r="E143" s="634"/>
      <c r="F143" s="634"/>
      <c r="G143" s="634"/>
      <c r="H143" s="634"/>
      <c r="I143" s="634"/>
      <c r="J143" s="634"/>
      <c r="K143" s="635"/>
      <c r="L143" s="694">
        <f>SUM(L144:M146)</f>
        <v>0.1275</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498.75</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CÁLCULO'!C70</f>
        <v>3.5000000000000003E-2</v>
      </c>
      <c r="M146" s="626"/>
      <c r="N146" s="683">
        <f>(($N$158+$N$141+$N$142)/(100%-$L$143))*L146</f>
        <v>188.71</v>
      </c>
      <c r="O146" s="684"/>
      <c r="P146" s="685"/>
    </row>
    <row r="147" spans="1:17" ht="15.6">
      <c r="A147" s="633" t="s">
        <v>480</v>
      </c>
      <c r="B147" s="634"/>
      <c r="C147" s="634"/>
      <c r="D147" s="634"/>
      <c r="E147" s="634"/>
      <c r="F147" s="634"/>
      <c r="G147" s="634"/>
      <c r="H147" s="634"/>
      <c r="I147" s="634"/>
      <c r="J147" s="634"/>
      <c r="K147" s="635"/>
      <c r="L147" s="694">
        <f>SUM(L141:M143)</f>
        <v>0.27750000000000002</v>
      </c>
      <c r="M147" s="620"/>
      <c r="N147" s="765">
        <f>SUM(N141:P146)</f>
        <v>1318.78</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1677.68</v>
      </c>
      <c r="O153" s="769"/>
      <c r="P153" s="770"/>
    </row>
    <row r="154" spans="1:17" ht="15.6">
      <c r="A154" s="7" t="s">
        <v>27</v>
      </c>
      <c r="B154" s="680" t="s">
        <v>561</v>
      </c>
      <c r="C154" s="681"/>
      <c r="D154" s="681"/>
      <c r="E154" s="681"/>
      <c r="F154" s="681"/>
      <c r="G154" s="681"/>
      <c r="H154" s="681"/>
      <c r="I154" s="681"/>
      <c r="J154" s="681"/>
      <c r="K154" s="681"/>
      <c r="L154" s="681"/>
      <c r="M154" s="682"/>
      <c r="N154" s="768">
        <f>N91</f>
        <v>1740.61</v>
      </c>
      <c r="O154" s="769"/>
      <c r="P154" s="770"/>
    </row>
    <row r="155" spans="1:17" ht="15.6">
      <c r="A155" s="7" t="s">
        <v>30</v>
      </c>
      <c r="B155" s="680" t="s">
        <v>562</v>
      </c>
      <c r="C155" s="681"/>
      <c r="D155" s="681"/>
      <c r="E155" s="681"/>
      <c r="F155" s="681"/>
      <c r="G155" s="681"/>
      <c r="H155" s="681"/>
      <c r="I155" s="681"/>
      <c r="J155" s="681"/>
      <c r="K155" s="681"/>
      <c r="L155" s="681"/>
      <c r="M155" s="682"/>
      <c r="N155" s="768">
        <f>N101</f>
        <v>53.19</v>
      </c>
      <c r="O155" s="769"/>
      <c r="P155" s="770"/>
    </row>
    <row r="156" spans="1:17" ht="15.6">
      <c r="A156" s="7" t="s">
        <v>32</v>
      </c>
      <c r="B156" s="680" t="s">
        <v>563</v>
      </c>
      <c r="C156" s="681"/>
      <c r="D156" s="681"/>
      <c r="E156" s="681"/>
      <c r="F156" s="681"/>
      <c r="G156" s="681"/>
      <c r="H156" s="681"/>
      <c r="I156" s="681"/>
      <c r="J156" s="681"/>
      <c r="K156" s="681"/>
      <c r="L156" s="681"/>
      <c r="M156" s="682"/>
      <c r="N156" s="768">
        <f>N129</f>
        <v>255.86</v>
      </c>
      <c r="O156" s="769"/>
      <c r="P156" s="770"/>
    </row>
    <row r="157" spans="1:17" ht="15.6">
      <c r="A157" s="7" t="s">
        <v>56</v>
      </c>
      <c r="B157" s="680" t="s">
        <v>564</v>
      </c>
      <c r="C157" s="681"/>
      <c r="D157" s="681"/>
      <c r="E157" s="681"/>
      <c r="F157" s="681"/>
      <c r="G157" s="681"/>
      <c r="H157" s="681"/>
      <c r="I157" s="681"/>
      <c r="J157" s="681"/>
      <c r="K157" s="681"/>
      <c r="L157" s="681"/>
      <c r="M157" s="682"/>
      <c r="N157" s="768">
        <f>N136</f>
        <v>345.72</v>
      </c>
      <c r="O157" s="769"/>
      <c r="P157" s="770"/>
    </row>
    <row r="158" spans="1:17" ht="15.6">
      <c r="A158" s="633" t="s">
        <v>565</v>
      </c>
      <c r="B158" s="634"/>
      <c r="C158" s="634"/>
      <c r="D158" s="634"/>
      <c r="E158" s="634"/>
      <c r="F158" s="634"/>
      <c r="G158" s="634"/>
      <c r="H158" s="634"/>
      <c r="I158" s="634"/>
      <c r="J158" s="634"/>
      <c r="K158" s="634"/>
      <c r="L158" s="634"/>
      <c r="M158" s="635"/>
      <c r="N158" s="765">
        <f>SUM(N153:P157)</f>
        <v>4073.06</v>
      </c>
      <c r="O158" s="766"/>
      <c r="P158" s="767"/>
    </row>
    <row r="159" spans="1:17" ht="15.6">
      <c r="A159" s="7" t="s">
        <v>58</v>
      </c>
      <c r="B159" s="680" t="s">
        <v>566</v>
      </c>
      <c r="C159" s="681"/>
      <c r="D159" s="681"/>
      <c r="E159" s="681"/>
      <c r="F159" s="681"/>
      <c r="G159" s="681"/>
      <c r="H159" s="681"/>
      <c r="I159" s="681"/>
      <c r="J159" s="681"/>
      <c r="K159" s="681"/>
      <c r="L159" s="681"/>
      <c r="M159" s="682"/>
      <c r="N159" s="768">
        <f>N147</f>
        <v>1318.78</v>
      </c>
      <c r="O159" s="769"/>
      <c r="P159" s="770"/>
    </row>
    <row r="160" spans="1:17" ht="15.6">
      <c r="A160" s="633" t="s">
        <v>567</v>
      </c>
      <c r="B160" s="634"/>
      <c r="C160" s="634"/>
      <c r="D160" s="634"/>
      <c r="E160" s="634"/>
      <c r="F160" s="634"/>
      <c r="G160" s="634"/>
      <c r="H160" s="634"/>
      <c r="I160" s="634"/>
      <c r="J160" s="634"/>
      <c r="K160" s="634"/>
      <c r="L160" s="634"/>
      <c r="M160" s="635"/>
      <c r="N160" s="765">
        <f>SUM(N158:P159)</f>
        <v>5391.84</v>
      </c>
      <c r="O160" s="766"/>
      <c r="P160" s="767"/>
    </row>
    <row r="161" spans="1:16" ht="15.6">
      <c r="A161" s="633" t="s">
        <v>568</v>
      </c>
      <c r="B161" s="634"/>
      <c r="C161" s="634"/>
      <c r="D161" s="634"/>
      <c r="E161" s="634"/>
      <c r="F161" s="634"/>
      <c r="G161" s="634"/>
      <c r="H161" s="634"/>
      <c r="I161" s="634"/>
      <c r="J161" s="634"/>
      <c r="K161" s="634"/>
      <c r="L161" s="634"/>
      <c r="M161" s="635"/>
      <c r="N161" s="665">
        <f>N160*N20</f>
        <v>21567.360000000001</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U159" sqref="U159"/>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CÁLCULO'!B41</f>
        <v>Alegre/Jerônimo Monteiro/ES</v>
      </c>
      <c r="O12" s="740"/>
      <c r="P12" s="741"/>
    </row>
    <row r="13" spans="1:16" ht="15.6">
      <c r="A13" s="7" t="s">
        <v>30</v>
      </c>
      <c r="B13" s="680" t="s">
        <v>455</v>
      </c>
      <c r="C13" s="681"/>
      <c r="D13" s="681"/>
      <c r="E13" s="681"/>
      <c r="F13" s="681"/>
      <c r="G13" s="681"/>
      <c r="H13" s="681"/>
      <c r="I13" s="681"/>
      <c r="J13" s="681"/>
      <c r="K13" s="681"/>
      <c r="L13" s="681"/>
      <c r="M13" s="682"/>
      <c r="N13" s="739" t="str">
        <f>'BASE DE CÁLCULO'!D41</f>
        <v>SECOTUH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t="str">
        <f>'BASE DE CÁLCULO'!C41</f>
        <v>Auxiliar de Cozinha III</v>
      </c>
      <c r="B20" s="625"/>
      <c r="C20" s="625"/>
      <c r="D20" s="626"/>
      <c r="E20" s="751" t="s">
        <v>459</v>
      </c>
      <c r="F20" s="752"/>
      <c r="G20" s="752"/>
      <c r="H20" s="752"/>
      <c r="I20" s="752"/>
      <c r="J20" s="752"/>
      <c r="K20" s="752"/>
      <c r="L20" s="752"/>
      <c r="M20" s="753"/>
      <c r="N20" s="789">
        <f>'BASE DE CÁLCULO'!F41</f>
        <v>1</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Auxiliar de Cozinha III</v>
      </c>
      <c r="O30" s="740"/>
      <c r="P30" s="741"/>
    </row>
    <row r="31" spans="1:16" ht="15.6">
      <c r="A31" s="7">
        <v>2</v>
      </c>
      <c r="B31" s="680" t="s">
        <v>466</v>
      </c>
      <c r="C31" s="681"/>
      <c r="D31" s="681"/>
      <c r="E31" s="681"/>
      <c r="F31" s="681"/>
      <c r="G31" s="681"/>
      <c r="H31" s="681"/>
      <c r="I31" s="681"/>
      <c r="J31" s="681"/>
      <c r="K31" s="681"/>
      <c r="L31" s="681"/>
      <c r="M31" s="682"/>
      <c r="N31" s="781" t="s">
        <v>570</v>
      </c>
      <c r="O31" s="779"/>
      <c r="P31" s="780"/>
    </row>
    <row r="32" spans="1:16" ht="15.6">
      <c r="A32" s="7">
        <v>3</v>
      </c>
      <c r="B32" s="680" t="s">
        <v>468</v>
      </c>
      <c r="C32" s="681"/>
      <c r="D32" s="681"/>
      <c r="E32" s="681"/>
      <c r="F32" s="681"/>
      <c r="G32" s="681"/>
      <c r="H32" s="681"/>
      <c r="I32" s="681"/>
      <c r="J32" s="681"/>
      <c r="K32" s="681"/>
      <c r="L32" s="681"/>
      <c r="M32" s="682"/>
      <c r="N32" s="772">
        <f>'BASE DE CÁLCULO'!G41</f>
        <v>1370.04</v>
      </c>
      <c r="O32" s="773"/>
      <c r="P32" s="774"/>
    </row>
    <row r="33" spans="1:16" ht="15.6">
      <c r="A33" s="7">
        <v>4</v>
      </c>
      <c r="B33" s="680" t="s">
        <v>469</v>
      </c>
      <c r="C33" s="681"/>
      <c r="D33" s="681"/>
      <c r="E33" s="681"/>
      <c r="F33" s="681"/>
      <c r="G33" s="681"/>
      <c r="H33" s="681"/>
      <c r="I33" s="681"/>
      <c r="J33" s="681"/>
      <c r="K33" s="681"/>
      <c r="L33" s="681"/>
      <c r="M33" s="682"/>
      <c r="N33" s="782" t="str">
        <f>'BASE DE CÁLCULO'!E41</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CÁLCULO'!C14</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1370.04</v>
      </c>
      <c r="O39" s="773"/>
      <c r="P39" s="774"/>
    </row>
    <row r="40" spans="1:16" ht="15.6">
      <c r="A40" s="7" t="s">
        <v>27</v>
      </c>
      <c r="B40" s="680" t="s">
        <v>474</v>
      </c>
      <c r="C40" s="681"/>
      <c r="D40" s="681"/>
      <c r="E40" s="681"/>
      <c r="F40" s="681"/>
      <c r="G40" s="681"/>
      <c r="H40" s="681"/>
      <c r="I40" s="681"/>
      <c r="J40" s="681"/>
      <c r="K40" s="681"/>
      <c r="L40" s="681"/>
      <c r="M40" s="682"/>
      <c r="N40" s="772" t="str">
        <f>'BASE DE CÁLCULO'!I41</f>
        <v>-</v>
      </c>
      <c r="O40" s="773"/>
      <c r="P40" s="774"/>
    </row>
    <row r="41" spans="1:16" ht="15.6">
      <c r="A41" s="7" t="s">
        <v>30</v>
      </c>
      <c r="B41" s="680" t="s">
        <v>475</v>
      </c>
      <c r="C41" s="681"/>
      <c r="D41" s="681"/>
      <c r="E41" s="681"/>
      <c r="F41" s="681"/>
      <c r="G41" s="681"/>
      <c r="H41" s="681"/>
      <c r="I41" s="681"/>
      <c r="J41" s="681"/>
      <c r="K41" s="681"/>
      <c r="L41" s="681"/>
      <c r="M41" s="682"/>
      <c r="N41" s="772">
        <f>'BASE DE CÁLCULO'!J41</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1612.44</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812">
        <f>N46*'BASE DE CÁLCULO'!C85</f>
        <v>183.82</v>
      </c>
      <c r="O52" s="813"/>
      <c r="P52" s="814"/>
    </row>
    <row r="53" spans="1:16" ht="15.6">
      <c r="A53" s="7" t="s">
        <v>27</v>
      </c>
      <c r="B53" s="680" t="s">
        <v>487</v>
      </c>
      <c r="C53" s="681"/>
      <c r="D53" s="681"/>
      <c r="E53" s="681"/>
      <c r="F53" s="681"/>
      <c r="G53" s="681"/>
      <c r="H53" s="681"/>
      <c r="I53" s="681"/>
      <c r="J53" s="681"/>
      <c r="K53" s="681"/>
      <c r="L53" s="681"/>
      <c r="M53" s="682"/>
      <c r="N53" s="812">
        <f>(N46*'BASE DE CÁLCULO'!C94)+(N46*'BASE DE CÁLCULO'!C86)</f>
        <v>245.09</v>
      </c>
      <c r="O53" s="813"/>
      <c r="P53" s="814"/>
    </row>
    <row r="54" spans="1:16" ht="15.6">
      <c r="A54" s="633" t="s">
        <v>480</v>
      </c>
      <c r="B54" s="634"/>
      <c r="C54" s="634"/>
      <c r="D54" s="634"/>
      <c r="E54" s="634"/>
      <c r="F54" s="634"/>
      <c r="G54" s="634"/>
      <c r="H54" s="634"/>
      <c r="I54" s="634"/>
      <c r="J54" s="634"/>
      <c r="K54" s="634"/>
      <c r="L54" s="634"/>
      <c r="M54" s="635"/>
      <c r="N54" s="809">
        <f>SUM(N52:P53)</f>
        <v>428.91</v>
      </c>
      <c r="O54" s="810"/>
      <c r="P54" s="811"/>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322.49</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40.31</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48.37</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24.19</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16.12</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9.67</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3.22</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129</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593.37</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803">
        <f>'BASE DE CÁLCULO'!K41</f>
        <v>84.9</v>
      </c>
      <c r="O75" s="804"/>
      <c r="P75" s="805"/>
    </row>
    <row r="76" spans="1:16" ht="16.5" customHeight="1">
      <c r="A76" s="7" t="s">
        <v>27</v>
      </c>
      <c r="B76" s="680" t="s">
        <v>331</v>
      </c>
      <c r="C76" s="681"/>
      <c r="D76" s="681"/>
      <c r="E76" s="681"/>
      <c r="F76" s="681"/>
      <c r="G76" s="681"/>
      <c r="H76" s="681"/>
      <c r="I76" s="681"/>
      <c r="J76" s="681"/>
      <c r="K76" s="681"/>
      <c r="L76" s="681"/>
      <c r="M76" s="682"/>
      <c r="N76" s="803">
        <f>'BASE DE CÁLCULO'!L41</f>
        <v>158.11000000000001</v>
      </c>
      <c r="O76" s="804"/>
      <c r="P76" s="805"/>
    </row>
    <row r="77" spans="1:16" ht="15.6">
      <c r="A77" s="7" t="s">
        <v>30</v>
      </c>
      <c r="B77" s="680" t="s">
        <v>508</v>
      </c>
      <c r="C77" s="681"/>
      <c r="D77" s="681"/>
      <c r="E77" s="681"/>
      <c r="F77" s="681"/>
      <c r="G77" s="681"/>
      <c r="H77" s="681"/>
      <c r="I77" s="681"/>
      <c r="J77" s="681"/>
      <c r="K77" s="681"/>
      <c r="L77" s="681"/>
      <c r="M77" s="682"/>
      <c r="N77" s="803">
        <f>'BASE DE CÁLCULO'!N41</f>
        <v>233.37</v>
      </c>
      <c r="O77" s="804"/>
      <c r="P77" s="805"/>
    </row>
    <row r="78" spans="1:16" ht="15.6">
      <c r="A78" s="7" t="s">
        <v>32</v>
      </c>
      <c r="B78" s="680" t="s">
        <v>509</v>
      </c>
      <c r="C78" s="681"/>
      <c r="D78" s="681"/>
      <c r="E78" s="681"/>
      <c r="F78" s="681"/>
      <c r="G78" s="681"/>
      <c r="H78" s="681"/>
      <c r="I78" s="681"/>
      <c r="J78" s="681"/>
      <c r="K78" s="681"/>
      <c r="L78" s="681"/>
      <c r="M78" s="682"/>
      <c r="N78" s="803">
        <f>'BASE DE CÁLCULO'!M41</f>
        <v>0</v>
      </c>
      <c r="O78" s="804"/>
      <c r="P78" s="805"/>
    </row>
    <row r="79" spans="1:16" ht="15.6">
      <c r="A79" s="7" t="s">
        <v>56</v>
      </c>
      <c r="B79" s="680" t="s">
        <v>510</v>
      </c>
      <c r="C79" s="681"/>
      <c r="D79" s="681"/>
      <c r="E79" s="681"/>
      <c r="F79" s="681"/>
      <c r="G79" s="681"/>
      <c r="H79" s="681"/>
      <c r="I79" s="681"/>
      <c r="J79" s="681"/>
      <c r="K79" s="681"/>
      <c r="L79" s="681"/>
      <c r="M79" s="682"/>
      <c r="N79" s="803">
        <f>'BASE DE CÁLCULO'!Q41</f>
        <v>25.3</v>
      </c>
      <c r="O79" s="804"/>
      <c r="P79" s="805"/>
    </row>
    <row r="80" spans="1:16" ht="15.6">
      <c r="A80" s="7" t="s">
        <v>58</v>
      </c>
      <c r="B80" s="680" t="s">
        <v>511</v>
      </c>
      <c r="C80" s="681"/>
      <c r="D80" s="681"/>
      <c r="E80" s="681"/>
      <c r="F80" s="681"/>
      <c r="G80" s="681"/>
      <c r="H80" s="681"/>
      <c r="I80" s="681"/>
      <c r="J80" s="681"/>
      <c r="K80" s="681"/>
      <c r="L80" s="681"/>
      <c r="M80" s="682"/>
      <c r="N80" s="800">
        <f>'BASE DE CÁLCULO'!S41</f>
        <v>172.1</v>
      </c>
      <c r="O80" s="801"/>
      <c r="P80" s="802"/>
    </row>
    <row r="81" spans="1:16" ht="16.2" customHeight="1">
      <c r="A81" s="7" t="s">
        <v>60</v>
      </c>
      <c r="B81" s="680" t="s">
        <v>334</v>
      </c>
      <c r="C81" s="681"/>
      <c r="D81" s="681"/>
      <c r="E81" s="681"/>
      <c r="F81" s="681"/>
      <c r="G81" s="681"/>
      <c r="H81" s="681"/>
      <c r="I81" s="681"/>
      <c r="J81" s="681"/>
      <c r="K81" s="681"/>
      <c r="L81" s="681"/>
      <c r="M81" s="682"/>
      <c r="N81" s="803">
        <f>'BASE DE CÁLCULO'!R41</f>
        <v>6.43</v>
      </c>
      <c r="O81" s="804"/>
      <c r="P81" s="805"/>
    </row>
    <row r="82" spans="1:16" ht="15.6">
      <c r="A82" s="633" t="s">
        <v>480</v>
      </c>
      <c r="B82" s="634"/>
      <c r="C82" s="634"/>
      <c r="D82" s="634"/>
      <c r="E82" s="634"/>
      <c r="F82" s="634"/>
      <c r="G82" s="634"/>
      <c r="H82" s="634"/>
      <c r="I82" s="634"/>
      <c r="J82" s="634"/>
      <c r="K82" s="634"/>
      <c r="L82" s="634"/>
      <c r="M82" s="635"/>
      <c r="N82" s="775">
        <f>SUM(N75:P81)</f>
        <v>680.21</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428.91</v>
      </c>
      <c r="O88" s="769"/>
      <c r="P88" s="770"/>
    </row>
    <row r="89" spans="1:16" ht="15.6">
      <c r="A89" s="11" t="s">
        <v>491</v>
      </c>
      <c r="B89" s="699" t="s">
        <v>518</v>
      </c>
      <c r="C89" s="700"/>
      <c r="D89" s="700"/>
      <c r="E89" s="700"/>
      <c r="F89" s="700"/>
      <c r="G89" s="700"/>
      <c r="H89" s="700"/>
      <c r="I89" s="700"/>
      <c r="J89" s="700"/>
      <c r="K89" s="700"/>
      <c r="L89" s="700"/>
      <c r="M89" s="701"/>
      <c r="N89" s="769">
        <f>N68</f>
        <v>593.37</v>
      </c>
      <c r="O89" s="769"/>
      <c r="P89" s="770"/>
    </row>
    <row r="90" spans="1:16" ht="15.6">
      <c r="A90" s="9" t="s">
        <v>506</v>
      </c>
      <c r="B90" s="699" t="s">
        <v>519</v>
      </c>
      <c r="C90" s="700"/>
      <c r="D90" s="700"/>
      <c r="E90" s="700"/>
      <c r="F90" s="700"/>
      <c r="G90" s="700"/>
      <c r="H90" s="700"/>
      <c r="I90" s="700"/>
      <c r="J90" s="700"/>
      <c r="K90" s="700"/>
      <c r="L90" s="700"/>
      <c r="M90" s="701"/>
      <c r="N90" s="769">
        <f>N82</f>
        <v>680.21</v>
      </c>
      <c r="O90" s="769"/>
      <c r="P90" s="770"/>
    </row>
    <row r="91" spans="1:16" ht="15.6">
      <c r="A91" s="633" t="s">
        <v>480</v>
      </c>
      <c r="B91" s="702"/>
      <c r="C91" s="702"/>
      <c r="D91" s="702"/>
      <c r="E91" s="702"/>
      <c r="F91" s="702"/>
      <c r="G91" s="702"/>
      <c r="H91" s="702"/>
      <c r="I91" s="702"/>
      <c r="J91" s="702"/>
      <c r="K91" s="702"/>
      <c r="L91" s="702"/>
      <c r="M91" s="703"/>
      <c r="N91" s="765">
        <f>SUM(N88:P90)</f>
        <v>1702.49</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6.77</v>
      </c>
      <c r="O95" s="769"/>
      <c r="P95" s="770"/>
    </row>
    <row r="96" spans="1:16" ht="15.6">
      <c r="A96" s="7" t="s">
        <v>27</v>
      </c>
      <c r="B96" s="680" t="s">
        <v>522</v>
      </c>
      <c r="C96" s="681"/>
      <c r="D96" s="681"/>
      <c r="E96" s="681"/>
      <c r="F96" s="681"/>
      <c r="G96" s="681"/>
      <c r="H96" s="681"/>
      <c r="I96" s="681"/>
      <c r="J96" s="681"/>
      <c r="K96" s="681"/>
      <c r="L96" s="681"/>
      <c r="M96" s="682"/>
      <c r="N96" s="768">
        <f>N46*'BASE DE CÁLCULO'!C89</f>
        <v>0.48</v>
      </c>
      <c r="O96" s="769"/>
      <c r="P96" s="770"/>
    </row>
    <row r="97" spans="1:16" ht="15.6">
      <c r="A97" s="7" t="s">
        <v>30</v>
      </c>
      <c r="B97" s="680" t="s">
        <v>523</v>
      </c>
      <c r="C97" s="681"/>
      <c r="D97" s="681"/>
      <c r="E97" s="681"/>
      <c r="F97" s="681"/>
      <c r="G97" s="681"/>
      <c r="H97" s="681"/>
      <c r="I97" s="681"/>
      <c r="J97" s="681"/>
      <c r="K97" s="681"/>
      <c r="L97" s="681"/>
      <c r="M97" s="682"/>
      <c r="N97" s="768">
        <f>N46*'BASE DE CÁLCULO'!C90</f>
        <v>0.16</v>
      </c>
      <c r="O97" s="769"/>
      <c r="P97" s="770"/>
    </row>
    <row r="98" spans="1:16" ht="15.6">
      <c r="A98" s="7" t="s">
        <v>32</v>
      </c>
      <c r="B98" s="680" t="s">
        <v>524</v>
      </c>
      <c r="C98" s="681"/>
      <c r="D98" s="681"/>
      <c r="E98" s="681"/>
      <c r="F98" s="681"/>
      <c r="G98" s="681"/>
      <c r="H98" s="681"/>
      <c r="I98" s="681"/>
      <c r="J98" s="681"/>
      <c r="K98" s="681"/>
      <c r="L98" s="681"/>
      <c r="M98" s="682"/>
      <c r="N98" s="768">
        <f>N46*'BASE DE CÁLCULO'!C91</f>
        <v>31.28</v>
      </c>
      <c r="O98" s="769"/>
      <c r="P98" s="770"/>
    </row>
    <row r="99" spans="1:16" ht="15.6">
      <c r="A99" s="7" t="s">
        <v>56</v>
      </c>
      <c r="B99" s="680" t="s">
        <v>525</v>
      </c>
      <c r="C99" s="681"/>
      <c r="D99" s="681"/>
      <c r="E99" s="681"/>
      <c r="F99" s="681"/>
      <c r="G99" s="681"/>
      <c r="H99" s="681"/>
      <c r="I99" s="681"/>
      <c r="J99" s="681"/>
      <c r="K99" s="681"/>
      <c r="L99" s="681"/>
      <c r="M99" s="682"/>
      <c r="N99" s="768">
        <f>N46*'BASE DE CÁLCULO'!C92</f>
        <v>11.45</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0.97</v>
      </c>
      <c r="O100" s="684"/>
      <c r="P100" s="685"/>
    </row>
    <row r="101" spans="1:16" ht="15.6">
      <c r="A101" s="633" t="s">
        <v>480</v>
      </c>
      <c r="B101" s="634"/>
      <c r="C101" s="634"/>
      <c r="D101" s="634"/>
      <c r="E101" s="634"/>
      <c r="F101" s="634"/>
      <c r="G101" s="634"/>
      <c r="H101" s="634"/>
      <c r="I101" s="634"/>
      <c r="J101" s="634"/>
      <c r="K101" s="634"/>
      <c r="L101" s="634"/>
      <c r="M101" s="635"/>
      <c r="N101" s="765">
        <f>SUM(N95:P100)</f>
        <v>51.11</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183.82</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18.38</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30.64</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0.48</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7.42</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3.87</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1.29</v>
      </c>
      <c r="O115" s="769"/>
      <c r="P115" s="770"/>
    </row>
    <row r="116" spans="1:16" ht="15.6">
      <c r="A116" s="633" t="s">
        <v>480</v>
      </c>
      <c r="B116" s="634"/>
      <c r="C116" s="634"/>
      <c r="D116" s="634"/>
      <c r="E116" s="634"/>
      <c r="F116" s="634"/>
      <c r="G116" s="634"/>
      <c r="H116" s="634"/>
      <c r="I116" s="634"/>
      <c r="J116" s="634"/>
      <c r="K116" s="634"/>
      <c r="L116" s="634"/>
      <c r="M116" s="635"/>
      <c r="N116" s="765">
        <f>SUM(N109:P115)</f>
        <v>245.9</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5.7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245.9</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245.9</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CÁLCULO'!O41</f>
        <v>138.97999999999999</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CÁLCULO'!P41</f>
        <v>1.37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140.35</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187.61</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393.99</v>
      </c>
      <c r="O142" s="684"/>
      <c r="P142" s="685"/>
    </row>
    <row r="143" spans="1:16" ht="16.5" customHeight="1">
      <c r="A143" s="7" t="s">
        <v>30</v>
      </c>
      <c r="B143" s="633" t="s">
        <v>552</v>
      </c>
      <c r="C143" s="634"/>
      <c r="D143" s="634"/>
      <c r="E143" s="634"/>
      <c r="F143" s="634"/>
      <c r="G143" s="634"/>
      <c r="H143" s="634"/>
      <c r="I143" s="634"/>
      <c r="J143" s="634"/>
      <c r="K143" s="635"/>
      <c r="L143" s="694">
        <f>SUM(L144:M146)</f>
        <v>0.1275</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459.47</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CÁLCULO'!C70</f>
        <v>3.5000000000000003E-2</v>
      </c>
      <c r="M146" s="626"/>
      <c r="N146" s="683">
        <f>(($N$158+$N$141+$N$142)/(100%-$L$143))*L146</f>
        <v>173.85</v>
      </c>
      <c r="O146" s="684"/>
      <c r="P146" s="685"/>
    </row>
    <row r="147" spans="1:17" ht="15.6">
      <c r="A147" s="633" t="s">
        <v>480</v>
      </c>
      <c r="B147" s="634"/>
      <c r="C147" s="634"/>
      <c r="D147" s="634"/>
      <c r="E147" s="634"/>
      <c r="F147" s="634"/>
      <c r="G147" s="634"/>
      <c r="H147" s="634"/>
      <c r="I147" s="634"/>
      <c r="J147" s="634"/>
      <c r="K147" s="635"/>
      <c r="L147" s="694">
        <f>SUM(L141:M143)</f>
        <v>0.27750000000000002</v>
      </c>
      <c r="M147" s="620"/>
      <c r="N147" s="765">
        <f>SUM(N141:P146)</f>
        <v>1214.92</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1612.44</v>
      </c>
      <c r="O153" s="769"/>
      <c r="P153" s="770"/>
    </row>
    <row r="154" spans="1:17" ht="15.6">
      <c r="A154" s="7" t="s">
        <v>27</v>
      </c>
      <c r="B154" s="680" t="s">
        <v>561</v>
      </c>
      <c r="C154" s="681"/>
      <c r="D154" s="681"/>
      <c r="E154" s="681"/>
      <c r="F154" s="681"/>
      <c r="G154" s="681"/>
      <c r="H154" s="681"/>
      <c r="I154" s="681"/>
      <c r="J154" s="681"/>
      <c r="K154" s="681"/>
      <c r="L154" s="681"/>
      <c r="M154" s="682"/>
      <c r="N154" s="768">
        <f>N91</f>
        <v>1702.49</v>
      </c>
      <c r="O154" s="769"/>
      <c r="P154" s="770"/>
    </row>
    <row r="155" spans="1:17" ht="15.6">
      <c r="A155" s="7" t="s">
        <v>30</v>
      </c>
      <c r="B155" s="680" t="s">
        <v>562</v>
      </c>
      <c r="C155" s="681"/>
      <c r="D155" s="681"/>
      <c r="E155" s="681"/>
      <c r="F155" s="681"/>
      <c r="G155" s="681"/>
      <c r="H155" s="681"/>
      <c r="I155" s="681"/>
      <c r="J155" s="681"/>
      <c r="K155" s="681"/>
      <c r="L155" s="681"/>
      <c r="M155" s="682"/>
      <c r="N155" s="768">
        <f>N101</f>
        <v>51.11</v>
      </c>
      <c r="O155" s="769"/>
      <c r="P155" s="770"/>
    </row>
    <row r="156" spans="1:17" ht="15.6">
      <c r="A156" s="7" t="s">
        <v>32</v>
      </c>
      <c r="B156" s="680" t="s">
        <v>563</v>
      </c>
      <c r="C156" s="681"/>
      <c r="D156" s="681"/>
      <c r="E156" s="681"/>
      <c r="F156" s="681"/>
      <c r="G156" s="681"/>
      <c r="H156" s="681"/>
      <c r="I156" s="681"/>
      <c r="J156" s="681"/>
      <c r="K156" s="681"/>
      <c r="L156" s="681"/>
      <c r="M156" s="682"/>
      <c r="N156" s="768">
        <f>N129</f>
        <v>245.9</v>
      </c>
      <c r="O156" s="769"/>
      <c r="P156" s="770"/>
    </row>
    <row r="157" spans="1:17" ht="15.6">
      <c r="A157" s="7" t="s">
        <v>56</v>
      </c>
      <c r="B157" s="680" t="s">
        <v>564</v>
      </c>
      <c r="C157" s="681"/>
      <c r="D157" s="681"/>
      <c r="E157" s="681"/>
      <c r="F157" s="681"/>
      <c r="G157" s="681"/>
      <c r="H157" s="681"/>
      <c r="I157" s="681"/>
      <c r="J157" s="681"/>
      <c r="K157" s="681"/>
      <c r="L157" s="681"/>
      <c r="M157" s="682"/>
      <c r="N157" s="768">
        <f>N136</f>
        <v>140.35</v>
      </c>
      <c r="O157" s="769"/>
      <c r="P157" s="770"/>
    </row>
    <row r="158" spans="1:17" ht="15.6">
      <c r="A158" s="633" t="s">
        <v>565</v>
      </c>
      <c r="B158" s="634"/>
      <c r="C158" s="634"/>
      <c r="D158" s="634"/>
      <c r="E158" s="634"/>
      <c r="F158" s="634"/>
      <c r="G158" s="634"/>
      <c r="H158" s="634"/>
      <c r="I158" s="634"/>
      <c r="J158" s="634"/>
      <c r="K158" s="634"/>
      <c r="L158" s="634"/>
      <c r="M158" s="635"/>
      <c r="N158" s="765">
        <f>SUM(N153:P157)</f>
        <v>3752.29</v>
      </c>
      <c r="O158" s="766"/>
      <c r="P158" s="767"/>
    </row>
    <row r="159" spans="1:17" ht="15.6">
      <c r="A159" s="7" t="s">
        <v>58</v>
      </c>
      <c r="B159" s="680" t="s">
        <v>566</v>
      </c>
      <c r="C159" s="681"/>
      <c r="D159" s="681"/>
      <c r="E159" s="681"/>
      <c r="F159" s="681"/>
      <c r="G159" s="681"/>
      <c r="H159" s="681"/>
      <c r="I159" s="681"/>
      <c r="J159" s="681"/>
      <c r="K159" s="681"/>
      <c r="L159" s="681"/>
      <c r="M159" s="682"/>
      <c r="N159" s="768">
        <f>N147</f>
        <v>1214.92</v>
      </c>
      <c r="O159" s="769"/>
      <c r="P159" s="770"/>
    </row>
    <row r="160" spans="1:17" ht="15.6">
      <c r="A160" s="633" t="s">
        <v>567</v>
      </c>
      <c r="B160" s="634"/>
      <c r="C160" s="634"/>
      <c r="D160" s="634"/>
      <c r="E160" s="634"/>
      <c r="F160" s="634"/>
      <c r="G160" s="634"/>
      <c r="H160" s="634"/>
      <c r="I160" s="634"/>
      <c r="J160" s="634"/>
      <c r="K160" s="634"/>
      <c r="L160" s="634"/>
      <c r="M160" s="635"/>
      <c r="N160" s="765">
        <f>SUM(N158:P159)</f>
        <v>4967.21</v>
      </c>
      <c r="O160" s="766"/>
      <c r="P160" s="767"/>
    </row>
    <row r="161" spans="1:16" ht="15.6">
      <c r="A161" s="633" t="s">
        <v>568</v>
      </c>
      <c r="B161" s="634"/>
      <c r="C161" s="634"/>
      <c r="D161" s="634"/>
      <c r="E161" s="634"/>
      <c r="F161" s="634"/>
      <c r="G161" s="634"/>
      <c r="H161" s="634"/>
      <c r="I161" s="634"/>
      <c r="J161" s="634"/>
      <c r="K161" s="634"/>
      <c r="L161" s="634"/>
      <c r="M161" s="635"/>
      <c r="N161" s="665">
        <f>N160*N20</f>
        <v>4967.21</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153" sqref="N153:P157"/>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CÁLCULO'!B42</f>
        <v>Alegre/Jerônimo Monteiro/ES</v>
      </c>
      <c r="O12" s="740"/>
      <c r="P12" s="741"/>
    </row>
    <row r="13" spans="1:16" ht="15.6">
      <c r="A13" s="7" t="s">
        <v>30</v>
      </c>
      <c r="B13" s="680" t="s">
        <v>455</v>
      </c>
      <c r="C13" s="681"/>
      <c r="D13" s="681"/>
      <c r="E13" s="681"/>
      <c r="F13" s="681"/>
      <c r="G13" s="681"/>
      <c r="H13" s="681"/>
      <c r="I13" s="681"/>
      <c r="J13" s="681"/>
      <c r="K13" s="681"/>
      <c r="L13" s="681"/>
      <c r="M13" s="682"/>
      <c r="N13" s="739" t="str">
        <f>'BASE DE CÁLCULO'!D42</f>
        <v>SECOTUH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CÁLCULO'!C42</f>
        <v>Cozinheiro</v>
      </c>
      <c r="B20" s="625"/>
      <c r="C20" s="625"/>
      <c r="D20" s="626"/>
      <c r="E20" s="751" t="s">
        <v>459</v>
      </c>
      <c r="F20" s="752"/>
      <c r="G20" s="752"/>
      <c r="H20" s="752"/>
      <c r="I20" s="752"/>
      <c r="J20" s="752"/>
      <c r="K20" s="752"/>
      <c r="L20" s="752"/>
      <c r="M20" s="753"/>
      <c r="N20" s="789">
        <f>'BASE DE CÁLCULO'!F42</f>
        <v>4</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ht="16.5" customHeight="1">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Cozinheiro</v>
      </c>
      <c r="O30" s="740"/>
      <c r="P30" s="741"/>
    </row>
    <row r="31" spans="1:16" ht="15.6">
      <c r="A31" s="7">
        <v>2</v>
      </c>
      <c r="B31" s="680" t="s">
        <v>466</v>
      </c>
      <c r="C31" s="681"/>
      <c r="D31" s="681"/>
      <c r="E31" s="681"/>
      <c r="F31" s="681"/>
      <c r="G31" s="681"/>
      <c r="H31" s="681"/>
      <c r="I31" s="681"/>
      <c r="J31" s="681"/>
      <c r="K31" s="681"/>
      <c r="L31" s="681"/>
      <c r="M31" s="682"/>
      <c r="N31" s="781" t="s">
        <v>571</v>
      </c>
      <c r="O31" s="779"/>
      <c r="P31" s="780"/>
    </row>
    <row r="32" spans="1:16" ht="15.6">
      <c r="A32" s="7">
        <v>3</v>
      </c>
      <c r="B32" s="680" t="s">
        <v>468</v>
      </c>
      <c r="C32" s="681"/>
      <c r="D32" s="681"/>
      <c r="E32" s="681"/>
      <c r="F32" s="681"/>
      <c r="G32" s="681"/>
      <c r="H32" s="681"/>
      <c r="I32" s="681"/>
      <c r="J32" s="681"/>
      <c r="K32" s="681"/>
      <c r="L32" s="681"/>
      <c r="M32" s="682"/>
      <c r="N32" s="772">
        <f>'BASE DE CÁLCULO'!G42</f>
        <v>1822.41</v>
      </c>
      <c r="O32" s="773"/>
      <c r="P32" s="774"/>
    </row>
    <row r="33" spans="1:16" ht="15.6">
      <c r="A33" s="7">
        <v>4</v>
      </c>
      <c r="B33" s="680" t="s">
        <v>469</v>
      </c>
      <c r="C33" s="681"/>
      <c r="D33" s="681"/>
      <c r="E33" s="681"/>
      <c r="F33" s="681"/>
      <c r="G33" s="681"/>
      <c r="H33" s="681"/>
      <c r="I33" s="681"/>
      <c r="J33" s="681"/>
      <c r="K33" s="681"/>
      <c r="L33" s="681"/>
      <c r="M33" s="682"/>
      <c r="N33" s="782" t="str">
        <f>'BASE DE CÁLCULO'!E42</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CÁLCULO'!C14</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1822.41</v>
      </c>
      <c r="O39" s="773"/>
      <c r="P39" s="774"/>
    </row>
    <row r="40" spans="1:16" ht="15.6">
      <c r="A40" s="7" t="s">
        <v>27</v>
      </c>
      <c r="B40" s="680" t="s">
        <v>474</v>
      </c>
      <c r="C40" s="681"/>
      <c r="D40" s="681"/>
      <c r="E40" s="681"/>
      <c r="F40" s="681"/>
      <c r="G40" s="681"/>
      <c r="H40" s="681"/>
      <c r="I40" s="681"/>
      <c r="J40" s="681"/>
      <c r="K40" s="681"/>
      <c r="L40" s="681"/>
      <c r="M40" s="682"/>
      <c r="N40" s="772" t="str">
        <f>'BASE DE CÁLCULO'!I42</f>
        <v>-</v>
      </c>
      <c r="O40" s="773"/>
      <c r="P40" s="774"/>
    </row>
    <row r="41" spans="1:16" ht="15.6">
      <c r="A41" s="7" t="s">
        <v>30</v>
      </c>
      <c r="B41" s="680" t="s">
        <v>475</v>
      </c>
      <c r="C41" s="681"/>
      <c r="D41" s="681"/>
      <c r="E41" s="681"/>
      <c r="F41" s="681"/>
      <c r="G41" s="681"/>
      <c r="H41" s="681"/>
      <c r="I41" s="681"/>
      <c r="J41" s="681"/>
      <c r="K41" s="681"/>
      <c r="L41" s="681"/>
      <c r="M41" s="682"/>
      <c r="N41" s="772">
        <f>'BASE DE CÁLCULO'!J42</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2064.81</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235.39</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313.85000000000002</v>
      </c>
      <c r="O53" s="773"/>
      <c r="P53" s="774"/>
    </row>
    <row r="54" spans="1:16" ht="15.6">
      <c r="A54" s="633" t="s">
        <v>480</v>
      </c>
      <c r="B54" s="634"/>
      <c r="C54" s="634"/>
      <c r="D54" s="634"/>
      <c r="E54" s="634"/>
      <c r="F54" s="634"/>
      <c r="G54" s="634"/>
      <c r="H54" s="634"/>
      <c r="I54" s="634"/>
      <c r="J54" s="634"/>
      <c r="K54" s="634"/>
      <c r="L54" s="634"/>
      <c r="M54" s="635"/>
      <c r="N54" s="775">
        <f>SUM(N52:P53)</f>
        <v>549.24</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412.96</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51.62</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61.94</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30.97</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20.65</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12.39</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4.13</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165.18</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759.84</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803">
        <f>'BASE DE CÁLCULO'!K42</f>
        <v>71.33</v>
      </c>
      <c r="O75" s="804"/>
      <c r="P75" s="805"/>
    </row>
    <row r="76" spans="1:16" ht="16.5" customHeight="1">
      <c r="A76" s="7" t="s">
        <v>27</v>
      </c>
      <c r="B76" s="680" t="s">
        <v>331</v>
      </c>
      <c r="C76" s="681"/>
      <c r="D76" s="681"/>
      <c r="E76" s="681"/>
      <c r="F76" s="681"/>
      <c r="G76" s="681"/>
      <c r="H76" s="681"/>
      <c r="I76" s="681"/>
      <c r="J76" s="681"/>
      <c r="K76" s="681"/>
      <c r="L76" s="681"/>
      <c r="M76" s="682"/>
      <c r="N76" s="803">
        <f>'BASE DE CÁLCULO'!L42</f>
        <v>158.11000000000001</v>
      </c>
      <c r="O76" s="804"/>
      <c r="P76" s="805"/>
    </row>
    <row r="77" spans="1:16" ht="15.6">
      <c r="A77" s="7" t="s">
        <v>30</v>
      </c>
      <c r="B77" s="680" t="s">
        <v>508</v>
      </c>
      <c r="C77" s="681"/>
      <c r="D77" s="681"/>
      <c r="E77" s="681"/>
      <c r="F77" s="681"/>
      <c r="G77" s="681"/>
      <c r="H77" s="681"/>
      <c r="I77" s="681"/>
      <c r="J77" s="681"/>
      <c r="K77" s="681"/>
      <c r="L77" s="681"/>
      <c r="M77" s="682"/>
      <c r="N77" s="803">
        <f>'BASE DE CÁLCULO'!N42</f>
        <v>233.37</v>
      </c>
      <c r="O77" s="804"/>
      <c r="P77" s="805"/>
    </row>
    <row r="78" spans="1:16" ht="15.6">
      <c r="A78" s="7" t="s">
        <v>32</v>
      </c>
      <c r="B78" s="680" t="s">
        <v>509</v>
      </c>
      <c r="C78" s="681"/>
      <c r="D78" s="681"/>
      <c r="E78" s="681"/>
      <c r="F78" s="681"/>
      <c r="G78" s="681"/>
      <c r="H78" s="681"/>
      <c r="I78" s="681"/>
      <c r="J78" s="681"/>
      <c r="K78" s="681"/>
      <c r="L78" s="681"/>
      <c r="M78" s="682"/>
      <c r="N78" s="803">
        <f>'BASE DE CÁLCULO'!M42</f>
        <v>0</v>
      </c>
      <c r="O78" s="804"/>
      <c r="P78" s="805"/>
    </row>
    <row r="79" spans="1:16" ht="15.6">
      <c r="A79" s="7" t="s">
        <v>56</v>
      </c>
      <c r="B79" s="680" t="s">
        <v>510</v>
      </c>
      <c r="C79" s="681"/>
      <c r="D79" s="681"/>
      <c r="E79" s="681"/>
      <c r="F79" s="681"/>
      <c r="G79" s="681"/>
      <c r="H79" s="681"/>
      <c r="I79" s="681"/>
      <c r="J79" s="681"/>
      <c r="K79" s="681"/>
      <c r="L79" s="681"/>
      <c r="M79" s="682"/>
      <c r="N79" s="803">
        <f>'BASE DE CÁLCULO'!Q42</f>
        <v>25.3</v>
      </c>
      <c r="O79" s="804"/>
      <c r="P79" s="805"/>
    </row>
    <row r="80" spans="1:16" ht="15.6">
      <c r="A80" s="7" t="s">
        <v>58</v>
      </c>
      <c r="B80" s="680" t="s">
        <v>511</v>
      </c>
      <c r="C80" s="681"/>
      <c r="D80" s="681"/>
      <c r="E80" s="681"/>
      <c r="F80" s="681"/>
      <c r="G80" s="681"/>
      <c r="H80" s="681"/>
      <c r="I80" s="681"/>
      <c r="J80" s="681"/>
      <c r="K80" s="681"/>
      <c r="L80" s="681"/>
      <c r="M80" s="682"/>
      <c r="N80" s="800">
        <f>'BASE DE CÁLCULO'!S42</f>
        <v>163.05000000000001</v>
      </c>
      <c r="O80" s="801"/>
      <c r="P80" s="802"/>
    </row>
    <row r="81" spans="1:16" ht="16.2" customHeight="1">
      <c r="A81" s="7" t="s">
        <v>60</v>
      </c>
      <c r="B81" s="680" t="s">
        <v>334</v>
      </c>
      <c r="C81" s="681"/>
      <c r="D81" s="681"/>
      <c r="E81" s="681"/>
      <c r="F81" s="681"/>
      <c r="G81" s="681"/>
      <c r="H81" s="681"/>
      <c r="I81" s="681"/>
      <c r="J81" s="681"/>
      <c r="K81" s="681"/>
      <c r="L81" s="681"/>
      <c r="M81" s="682"/>
      <c r="N81" s="803">
        <f>'BASE DE CÁLCULO'!R42</f>
        <v>6.43</v>
      </c>
      <c r="O81" s="804"/>
      <c r="P81" s="805"/>
    </row>
    <row r="82" spans="1:16" ht="15.6">
      <c r="A82" s="633" t="s">
        <v>480</v>
      </c>
      <c r="B82" s="634"/>
      <c r="C82" s="634"/>
      <c r="D82" s="634"/>
      <c r="E82" s="634"/>
      <c r="F82" s="634"/>
      <c r="G82" s="634"/>
      <c r="H82" s="634"/>
      <c r="I82" s="634"/>
      <c r="J82" s="634"/>
      <c r="K82" s="634"/>
      <c r="L82" s="634"/>
      <c r="M82" s="635"/>
      <c r="N82" s="806">
        <f>SUM(N75:P81)</f>
        <v>657.59</v>
      </c>
      <c r="O82" s="807"/>
      <c r="P82" s="808"/>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549.24</v>
      </c>
      <c r="O88" s="769"/>
      <c r="P88" s="770"/>
    </row>
    <row r="89" spans="1:16" ht="15.6">
      <c r="A89" s="11" t="s">
        <v>491</v>
      </c>
      <c r="B89" s="699" t="s">
        <v>518</v>
      </c>
      <c r="C89" s="700"/>
      <c r="D89" s="700"/>
      <c r="E89" s="700"/>
      <c r="F89" s="700"/>
      <c r="G89" s="700"/>
      <c r="H89" s="700"/>
      <c r="I89" s="700"/>
      <c r="J89" s="700"/>
      <c r="K89" s="700"/>
      <c r="L89" s="700"/>
      <c r="M89" s="701"/>
      <c r="N89" s="769">
        <f>N68</f>
        <v>759.84</v>
      </c>
      <c r="O89" s="769"/>
      <c r="P89" s="770"/>
    </row>
    <row r="90" spans="1:16" ht="15.6">
      <c r="A90" s="9" t="s">
        <v>506</v>
      </c>
      <c r="B90" s="699" t="s">
        <v>519</v>
      </c>
      <c r="C90" s="700"/>
      <c r="D90" s="700"/>
      <c r="E90" s="700"/>
      <c r="F90" s="700"/>
      <c r="G90" s="700"/>
      <c r="H90" s="700"/>
      <c r="I90" s="700"/>
      <c r="J90" s="700"/>
      <c r="K90" s="700"/>
      <c r="L90" s="700"/>
      <c r="M90" s="701"/>
      <c r="N90" s="769">
        <f>N82</f>
        <v>657.59</v>
      </c>
      <c r="O90" s="769"/>
      <c r="P90" s="770"/>
    </row>
    <row r="91" spans="1:16" ht="15.6">
      <c r="A91" s="633" t="s">
        <v>480</v>
      </c>
      <c r="B91" s="702"/>
      <c r="C91" s="702"/>
      <c r="D91" s="702"/>
      <c r="E91" s="702"/>
      <c r="F91" s="702"/>
      <c r="G91" s="702"/>
      <c r="H91" s="702"/>
      <c r="I91" s="702"/>
      <c r="J91" s="702"/>
      <c r="K91" s="702"/>
      <c r="L91" s="702"/>
      <c r="M91" s="703"/>
      <c r="N91" s="765">
        <f>SUM(N88:P90)</f>
        <v>1966.67</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8.67</v>
      </c>
      <c r="O95" s="769"/>
      <c r="P95" s="770"/>
    </row>
    <row r="96" spans="1:16" ht="15.6">
      <c r="A96" s="7" t="s">
        <v>27</v>
      </c>
      <c r="B96" s="680" t="s">
        <v>522</v>
      </c>
      <c r="C96" s="681"/>
      <c r="D96" s="681"/>
      <c r="E96" s="681"/>
      <c r="F96" s="681"/>
      <c r="G96" s="681"/>
      <c r="H96" s="681"/>
      <c r="I96" s="681"/>
      <c r="J96" s="681"/>
      <c r="K96" s="681"/>
      <c r="L96" s="681"/>
      <c r="M96" s="682"/>
      <c r="N96" s="768">
        <f>N46*'BASE DE CÁLCULO'!C89</f>
        <v>0.62</v>
      </c>
      <c r="O96" s="769"/>
      <c r="P96" s="770"/>
    </row>
    <row r="97" spans="1:16" ht="15.6">
      <c r="A97" s="7" t="s">
        <v>30</v>
      </c>
      <c r="B97" s="680" t="s">
        <v>523</v>
      </c>
      <c r="C97" s="681"/>
      <c r="D97" s="681"/>
      <c r="E97" s="681"/>
      <c r="F97" s="681"/>
      <c r="G97" s="681"/>
      <c r="H97" s="681"/>
      <c r="I97" s="681"/>
      <c r="J97" s="681"/>
      <c r="K97" s="681"/>
      <c r="L97" s="681"/>
      <c r="M97" s="682"/>
      <c r="N97" s="768">
        <f>N46*'BASE DE CÁLCULO'!C90</f>
        <v>0.21</v>
      </c>
      <c r="O97" s="769"/>
      <c r="P97" s="770"/>
    </row>
    <row r="98" spans="1:16" ht="15.6">
      <c r="A98" s="7" t="s">
        <v>32</v>
      </c>
      <c r="B98" s="680" t="s">
        <v>524</v>
      </c>
      <c r="C98" s="681"/>
      <c r="D98" s="681"/>
      <c r="E98" s="681"/>
      <c r="F98" s="681"/>
      <c r="G98" s="681"/>
      <c r="H98" s="681"/>
      <c r="I98" s="681"/>
      <c r="J98" s="681"/>
      <c r="K98" s="681"/>
      <c r="L98" s="681"/>
      <c r="M98" s="682"/>
      <c r="N98" s="768">
        <f>N46*'BASE DE CÁLCULO'!C91</f>
        <v>40.06</v>
      </c>
      <c r="O98" s="769"/>
      <c r="P98" s="770"/>
    </row>
    <row r="99" spans="1:16" ht="15.6">
      <c r="A99" s="7" t="s">
        <v>56</v>
      </c>
      <c r="B99" s="680" t="s">
        <v>525</v>
      </c>
      <c r="C99" s="681"/>
      <c r="D99" s="681"/>
      <c r="E99" s="681"/>
      <c r="F99" s="681"/>
      <c r="G99" s="681"/>
      <c r="H99" s="681"/>
      <c r="I99" s="681"/>
      <c r="J99" s="681"/>
      <c r="K99" s="681"/>
      <c r="L99" s="681"/>
      <c r="M99" s="682"/>
      <c r="N99" s="768">
        <f>N46*'BASE DE CÁLCULO'!C92</f>
        <v>14.66</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1.24</v>
      </c>
      <c r="O100" s="684"/>
      <c r="P100" s="685"/>
    </row>
    <row r="101" spans="1:16" ht="15.6">
      <c r="A101" s="633" t="s">
        <v>480</v>
      </c>
      <c r="B101" s="634"/>
      <c r="C101" s="634"/>
      <c r="D101" s="634"/>
      <c r="E101" s="634"/>
      <c r="F101" s="634"/>
      <c r="G101" s="634"/>
      <c r="H101" s="634"/>
      <c r="I101" s="634"/>
      <c r="J101" s="634"/>
      <c r="K101" s="634"/>
      <c r="L101" s="634"/>
      <c r="M101" s="635"/>
      <c r="N101" s="765">
        <f>SUM(N95:P100)</f>
        <v>65.459999999999994</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235.39</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23.54</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39.229999999999997</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0.62</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9.5</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4.96</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1.65</v>
      </c>
      <c r="O115" s="769"/>
      <c r="P115" s="770"/>
    </row>
    <row r="116" spans="1:16" ht="15.6">
      <c r="A116" s="633" t="s">
        <v>480</v>
      </c>
      <c r="B116" s="634"/>
      <c r="C116" s="634"/>
      <c r="D116" s="634"/>
      <c r="E116" s="634"/>
      <c r="F116" s="634"/>
      <c r="G116" s="634"/>
      <c r="H116" s="634"/>
      <c r="I116" s="634"/>
      <c r="J116" s="634"/>
      <c r="K116" s="634"/>
      <c r="L116" s="634"/>
      <c r="M116" s="635"/>
      <c r="N116" s="765">
        <f>SUM(N109:P115)</f>
        <v>314.89</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3.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314.89</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314.89</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CÁLCULO'!O42</f>
        <v>228.36</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CÁLCULO'!P42</f>
        <v>1.37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229.73</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232.08</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487.36</v>
      </c>
      <c r="O142" s="684"/>
      <c r="P142" s="685"/>
    </row>
    <row r="143" spans="1:16" ht="16.5" customHeight="1">
      <c r="A143" s="7" t="s">
        <v>30</v>
      </c>
      <c r="B143" s="633" t="s">
        <v>552</v>
      </c>
      <c r="C143" s="634"/>
      <c r="D143" s="634"/>
      <c r="E143" s="634"/>
      <c r="F143" s="634"/>
      <c r="G143" s="634"/>
      <c r="H143" s="634"/>
      <c r="I143" s="634"/>
      <c r="J143" s="634"/>
      <c r="K143" s="635"/>
      <c r="L143" s="694">
        <f>SUM(L144:M146)</f>
        <v>0.1275</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568.36</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CÁLCULO'!C70</f>
        <v>3.5000000000000003E-2</v>
      </c>
      <c r="M146" s="626"/>
      <c r="N146" s="683">
        <f>(($N$158+$N$141+$N$142)/(100%-$L$143))*L146</f>
        <v>215.05</v>
      </c>
      <c r="O146" s="684"/>
      <c r="P146" s="685"/>
    </row>
    <row r="147" spans="1:17" ht="15.6">
      <c r="A147" s="633" t="s">
        <v>480</v>
      </c>
      <c r="B147" s="634"/>
      <c r="C147" s="634"/>
      <c r="D147" s="634"/>
      <c r="E147" s="634"/>
      <c r="F147" s="634"/>
      <c r="G147" s="634"/>
      <c r="H147" s="634"/>
      <c r="I147" s="634"/>
      <c r="J147" s="634"/>
      <c r="K147" s="635"/>
      <c r="L147" s="694">
        <f>SUM(L141:M143)</f>
        <v>0.27750000000000002</v>
      </c>
      <c r="M147" s="620"/>
      <c r="N147" s="765">
        <f>SUM(N141:P146)</f>
        <v>1502.85</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2064.81</v>
      </c>
      <c r="O153" s="769"/>
      <c r="P153" s="770"/>
    </row>
    <row r="154" spans="1:17" ht="15.6">
      <c r="A154" s="7" t="s">
        <v>27</v>
      </c>
      <c r="B154" s="680" t="s">
        <v>561</v>
      </c>
      <c r="C154" s="681"/>
      <c r="D154" s="681"/>
      <c r="E154" s="681"/>
      <c r="F154" s="681"/>
      <c r="G154" s="681"/>
      <c r="H154" s="681"/>
      <c r="I154" s="681"/>
      <c r="J154" s="681"/>
      <c r="K154" s="681"/>
      <c r="L154" s="681"/>
      <c r="M154" s="682"/>
      <c r="N154" s="768">
        <f>N91</f>
        <v>1966.67</v>
      </c>
      <c r="O154" s="769"/>
      <c r="P154" s="770"/>
    </row>
    <row r="155" spans="1:17" ht="15.6">
      <c r="A155" s="7" t="s">
        <v>30</v>
      </c>
      <c r="B155" s="680" t="s">
        <v>562</v>
      </c>
      <c r="C155" s="681"/>
      <c r="D155" s="681"/>
      <c r="E155" s="681"/>
      <c r="F155" s="681"/>
      <c r="G155" s="681"/>
      <c r="H155" s="681"/>
      <c r="I155" s="681"/>
      <c r="J155" s="681"/>
      <c r="K155" s="681"/>
      <c r="L155" s="681"/>
      <c r="M155" s="682"/>
      <c r="N155" s="768">
        <f>N101</f>
        <v>65.459999999999994</v>
      </c>
      <c r="O155" s="769"/>
      <c r="P155" s="770"/>
    </row>
    <row r="156" spans="1:17" ht="15.6">
      <c r="A156" s="7" t="s">
        <v>32</v>
      </c>
      <c r="B156" s="680" t="s">
        <v>563</v>
      </c>
      <c r="C156" s="681"/>
      <c r="D156" s="681"/>
      <c r="E156" s="681"/>
      <c r="F156" s="681"/>
      <c r="G156" s="681"/>
      <c r="H156" s="681"/>
      <c r="I156" s="681"/>
      <c r="J156" s="681"/>
      <c r="K156" s="681"/>
      <c r="L156" s="681"/>
      <c r="M156" s="682"/>
      <c r="N156" s="768">
        <f>N129</f>
        <v>314.89</v>
      </c>
      <c r="O156" s="769"/>
      <c r="P156" s="770"/>
    </row>
    <row r="157" spans="1:17" ht="15.6">
      <c r="A157" s="7" t="s">
        <v>56</v>
      </c>
      <c r="B157" s="680" t="s">
        <v>564</v>
      </c>
      <c r="C157" s="681"/>
      <c r="D157" s="681"/>
      <c r="E157" s="681"/>
      <c r="F157" s="681"/>
      <c r="G157" s="681"/>
      <c r="H157" s="681"/>
      <c r="I157" s="681"/>
      <c r="J157" s="681"/>
      <c r="K157" s="681"/>
      <c r="L157" s="681"/>
      <c r="M157" s="682"/>
      <c r="N157" s="768">
        <f>N136</f>
        <v>229.73</v>
      </c>
      <c r="O157" s="769"/>
      <c r="P157" s="770"/>
    </row>
    <row r="158" spans="1:17" ht="15.6">
      <c r="A158" s="633" t="s">
        <v>565</v>
      </c>
      <c r="B158" s="634"/>
      <c r="C158" s="634"/>
      <c r="D158" s="634"/>
      <c r="E158" s="634"/>
      <c r="F158" s="634"/>
      <c r="G158" s="634"/>
      <c r="H158" s="634"/>
      <c r="I158" s="634"/>
      <c r="J158" s="634"/>
      <c r="K158" s="634"/>
      <c r="L158" s="634"/>
      <c r="M158" s="635"/>
      <c r="N158" s="765">
        <f>SUM(N153:P157)</f>
        <v>4641.5600000000004</v>
      </c>
      <c r="O158" s="766"/>
      <c r="P158" s="767"/>
    </row>
    <row r="159" spans="1:17" ht="15.6">
      <c r="A159" s="7" t="s">
        <v>58</v>
      </c>
      <c r="B159" s="680" t="s">
        <v>566</v>
      </c>
      <c r="C159" s="681"/>
      <c r="D159" s="681"/>
      <c r="E159" s="681"/>
      <c r="F159" s="681"/>
      <c r="G159" s="681"/>
      <c r="H159" s="681"/>
      <c r="I159" s="681"/>
      <c r="J159" s="681"/>
      <c r="K159" s="681"/>
      <c r="L159" s="681"/>
      <c r="M159" s="682"/>
      <c r="N159" s="768">
        <f>N147</f>
        <v>1502.85</v>
      </c>
      <c r="O159" s="769"/>
      <c r="P159" s="770"/>
    </row>
    <row r="160" spans="1:17" ht="15.6">
      <c r="A160" s="633" t="s">
        <v>567</v>
      </c>
      <c r="B160" s="634"/>
      <c r="C160" s="634"/>
      <c r="D160" s="634"/>
      <c r="E160" s="634"/>
      <c r="F160" s="634"/>
      <c r="G160" s="634"/>
      <c r="H160" s="634"/>
      <c r="I160" s="634"/>
      <c r="J160" s="634"/>
      <c r="K160" s="634"/>
      <c r="L160" s="634"/>
      <c r="M160" s="635"/>
      <c r="N160" s="765">
        <f>SUM(N158:P159)</f>
        <v>6144.41</v>
      </c>
      <c r="O160" s="766"/>
      <c r="P160" s="767"/>
    </row>
    <row r="161" spans="1:16" ht="15.6">
      <c r="A161" s="633" t="s">
        <v>568</v>
      </c>
      <c r="B161" s="634"/>
      <c r="C161" s="634"/>
      <c r="D161" s="634"/>
      <c r="E161" s="634"/>
      <c r="F161" s="634"/>
      <c r="G161" s="634"/>
      <c r="H161" s="634"/>
      <c r="I161" s="634"/>
      <c r="J161" s="634"/>
      <c r="K161" s="634"/>
      <c r="L161" s="634"/>
      <c r="M161" s="635"/>
      <c r="N161" s="665">
        <f>N160*N20</f>
        <v>24577.64</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zoomScale="85" workbookViewId="0">
      <selection activeCell="N20" sqref="N20:P20"/>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CÁLCULO'!B43</f>
        <v>Alegre/Jerônimo Monteiro/ES</v>
      </c>
      <c r="O12" s="740"/>
      <c r="P12" s="741"/>
    </row>
    <row r="13" spans="1:16" ht="15.6">
      <c r="A13" s="7" t="s">
        <v>30</v>
      </c>
      <c r="B13" s="680" t="s">
        <v>455</v>
      </c>
      <c r="C13" s="681"/>
      <c r="D13" s="681"/>
      <c r="E13" s="681"/>
      <c r="F13" s="681"/>
      <c r="G13" s="681"/>
      <c r="H13" s="681"/>
      <c r="I13" s="681"/>
      <c r="J13" s="681"/>
      <c r="K13" s="681"/>
      <c r="L13" s="681"/>
      <c r="M13" s="682"/>
      <c r="N13" s="739" t="str">
        <f>'BASE DE CÁLCULO'!D43</f>
        <v>SECOTUH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CÁLCULO'!C43</f>
        <v>ASG I</v>
      </c>
      <c r="B20" s="625"/>
      <c r="C20" s="625"/>
      <c r="D20" s="626"/>
      <c r="E20" s="751" t="s">
        <v>459</v>
      </c>
      <c r="F20" s="752"/>
      <c r="G20" s="752"/>
      <c r="H20" s="752"/>
      <c r="I20" s="752"/>
      <c r="J20" s="752"/>
      <c r="K20" s="752"/>
      <c r="L20" s="752"/>
      <c r="M20" s="753"/>
      <c r="N20" s="789">
        <f>'BASE DE CÁLCULO'!F43</f>
        <v>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ht="16.5" customHeight="1">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ASG I</v>
      </c>
      <c r="O30" s="740"/>
      <c r="P30" s="741"/>
    </row>
    <row r="31" spans="1:16" ht="15.6">
      <c r="A31" s="7">
        <v>2</v>
      </c>
      <c r="B31" s="680" t="s">
        <v>466</v>
      </c>
      <c r="C31" s="681"/>
      <c r="D31" s="681"/>
      <c r="E31" s="681"/>
      <c r="F31" s="681"/>
      <c r="G31" s="681"/>
      <c r="H31" s="681"/>
      <c r="I31" s="681"/>
      <c r="J31" s="681"/>
      <c r="K31" s="681"/>
      <c r="L31" s="681"/>
      <c r="M31" s="682"/>
      <c r="N31" s="781" t="s">
        <v>572</v>
      </c>
      <c r="O31" s="779"/>
      <c r="P31" s="780"/>
    </row>
    <row r="32" spans="1:16" ht="15.6">
      <c r="A32" s="7">
        <v>3</v>
      </c>
      <c r="B32" s="680" t="s">
        <v>468</v>
      </c>
      <c r="C32" s="681"/>
      <c r="D32" s="681"/>
      <c r="E32" s="681"/>
      <c r="F32" s="681"/>
      <c r="G32" s="681"/>
      <c r="H32" s="681"/>
      <c r="I32" s="681"/>
      <c r="J32" s="681"/>
      <c r="K32" s="681"/>
      <c r="L32" s="681"/>
      <c r="M32" s="682"/>
      <c r="N32" s="772">
        <f>'BASE DE CÁLCULO'!G43</f>
        <v>1261.8699999999999</v>
      </c>
      <c r="O32" s="773"/>
      <c r="P32" s="774"/>
    </row>
    <row r="33" spans="1:16" ht="15.6">
      <c r="A33" s="7">
        <v>4</v>
      </c>
      <c r="B33" s="680" t="s">
        <v>469</v>
      </c>
      <c r="C33" s="681"/>
      <c r="D33" s="681"/>
      <c r="E33" s="681"/>
      <c r="F33" s="681"/>
      <c r="G33" s="681"/>
      <c r="H33" s="681"/>
      <c r="I33" s="681"/>
      <c r="J33" s="681"/>
      <c r="K33" s="681"/>
      <c r="L33" s="681"/>
      <c r="M33" s="682"/>
      <c r="N33" s="782" t="str">
        <f>'BASE DE CÁLCULO'!E43</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CÁLCULO'!C14</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1261.8699999999999</v>
      </c>
      <c r="O39" s="773"/>
      <c r="P39" s="774"/>
    </row>
    <row r="40" spans="1:16" ht="15.6">
      <c r="A40" s="7" t="s">
        <v>27</v>
      </c>
      <c r="B40" s="680" t="s">
        <v>474</v>
      </c>
      <c r="C40" s="681"/>
      <c r="D40" s="681"/>
      <c r="E40" s="681"/>
      <c r="F40" s="681"/>
      <c r="G40" s="681"/>
      <c r="H40" s="681"/>
      <c r="I40" s="681"/>
      <c r="J40" s="681"/>
      <c r="K40" s="681"/>
      <c r="L40" s="681"/>
      <c r="M40" s="682"/>
      <c r="N40" s="772" t="str">
        <f>'BASE DE CÁLCULO'!I43</f>
        <v>-</v>
      </c>
      <c r="O40" s="773"/>
      <c r="P40" s="774"/>
    </row>
    <row r="41" spans="1:16" ht="15.6">
      <c r="A41" s="7" t="s">
        <v>30</v>
      </c>
      <c r="B41" s="680" t="s">
        <v>475</v>
      </c>
      <c r="C41" s="681"/>
      <c r="D41" s="681"/>
      <c r="E41" s="681"/>
      <c r="F41" s="681"/>
      <c r="G41" s="681"/>
      <c r="H41" s="681"/>
      <c r="I41" s="681"/>
      <c r="J41" s="681"/>
      <c r="K41" s="681"/>
      <c r="L41" s="681"/>
      <c r="M41" s="682"/>
      <c r="N41" s="772" t="str">
        <f>'BASE DE CÁLCULO'!J43</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1261.8699999999999</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143.85</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191.8</v>
      </c>
      <c r="O53" s="773"/>
      <c r="P53" s="774"/>
    </row>
    <row r="54" spans="1:16" ht="15.6">
      <c r="A54" s="633" t="s">
        <v>480</v>
      </c>
      <c r="B54" s="634"/>
      <c r="C54" s="634"/>
      <c r="D54" s="634"/>
      <c r="E54" s="634"/>
      <c r="F54" s="634"/>
      <c r="G54" s="634"/>
      <c r="H54" s="634"/>
      <c r="I54" s="634"/>
      <c r="J54" s="634"/>
      <c r="K54" s="634"/>
      <c r="L54" s="634"/>
      <c r="M54" s="635"/>
      <c r="N54" s="775">
        <f>SUM(N52:P53)</f>
        <v>335.65</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252.37</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31.55</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37.86</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18.93</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12.62</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7.57</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2.52</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100.95</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464.37</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803">
        <f>'BASE DE CÁLCULO'!K43</f>
        <v>88.14</v>
      </c>
      <c r="O75" s="804"/>
      <c r="P75" s="805"/>
    </row>
    <row r="76" spans="1:16" ht="16.5" customHeight="1">
      <c r="A76" s="7" t="s">
        <v>27</v>
      </c>
      <c r="B76" s="680" t="s">
        <v>331</v>
      </c>
      <c r="C76" s="681"/>
      <c r="D76" s="681"/>
      <c r="E76" s="681"/>
      <c r="F76" s="681"/>
      <c r="G76" s="681"/>
      <c r="H76" s="681"/>
      <c r="I76" s="681"/>
      <c r="J76" s="681"/>
      <c r="K76" s="681"/>
      <c r="L76" s="681"/>
      <c r="M76" s="682"/>
      <c r="N76" s="803">
        <f>'BASE DE CÁLCULO'!L43</f>
        <v>158.11000000000001</v>
      </c>
      <c r="O76" s="804"/>
      <c r="P76" s="805"/>
    </row>
    <row r="77" spans="1:16" ht="15.6">
      <c r="A77" s="7" t="s">
        <v>30</v>
      </c>
      <c r="B77" s="680" t="s">
        <v>508</v>
      </c>
      <c r="C77" s="681"/>
      <c r="D77" s="681"/>
      <c r="E77" s="681"/>
      <c r="F77" s="681"/>
      <c r="G77" s="681"/>
      <c r="H77" s="681"/>
      <c r="I77" s="681"/>
      <c r="J77" s="681"/>
      <c r="K77" s="681"/>
      <c r="L77" s="681"/>
      <c r="M77" s="682"/>
      <c r="N77" s="803">
        <f>'BASE DE CÁLCULO'!N43</f>
        <v>233.37</v>
      </c>
      <c r="O77" s="804"/>
      <c r="P77" s="805"/>
    </row>
    <row r="78" spans="1:16" ht="15.6">
      <c r="A78" s="7" t="s">
        <v>32</v>
      </c>
      <c r="B78" s="680" t="s">
        <v>509</v>
      </c>
      <c r="C78" s="681"/>
      <c r="D78" s="681"/>
      <c r="E78" s="681"/>
      <c r="F78" s="681"/>
      <c r="G78" s="681"/>
      <c r="H78" s="681"/>
      <c r="I78" s="681"/>
      <c r="J78" s="681"/>
      <c r="K78" s="681"/>
      <c r="L78" s="681"/>
      <c r="M78" s="682"/>
      <c r="N78" s="803">
        <f>'BASE DE CÁLCULO'!M43</f>
        <v>0</v>
      </c>
      <c r="O78" s="804"/>
      <c r="P78" s="805"/>
    </row>
    <row r="79" spans="1:16" ht="15.6">
      <c r="A79" s="7" t="s">
        <v>56</v>
      </c>
      <c r="B79" s="680" t="s">
        <v>510</v>
      </c>
      <c r="C79" s="681"/>
      <c r="D79" s="681"/>
      <c r="E79" s="681"/>
      <c r="F79" s="681"/>
      <c r="G79" s="681"/>
      <c r="H79" s="681"/>
      <c r="I79" s="681"/>
      <c r="J79" s="681"/>
      <c r="K79" s="681"/>
      <c r="L79" s="681"/>
      <c r="M79" s="682"/>
      <c r="N79" s="803">
        <f>'BASE DE CÁLCULO'!Q43</f>
        <v>25.3</v>
      </c>
      <c r="O79" s="804"/>
      <c r="P79" s="805"/>
    </row>
    <row r="80" spans="1:16" ht="15.6">
      <c r="A80" s="7" t="s">
        <v>58</v>
      </c>
      <c r="B80" s="680" t="s">
        <v>511</v>
      </c>
      <c r="C80" s="681"/>
      <c r="D80" s="681"/>
      <c r="E80" s="681"/>
      <c r="F80" s="681"/>
      <c r="G80" s="681"/>
      <c r="H80" s="681"/>
      <c r="I80" s="681"/>
      <c r="J80" s="681"/>
      <c r="K80" s="681"/>
      <c r="L80" s="681"/>
      <c r="M80" s="682"/>
      <c r="N80" s="800">
        <f>'BASE DE CÁLCULO'!S43</f>
        <v>174.26</v>
      </c>
      <c r="O80" s="801"/>
      <c r="P80" s="802"/>
    </row>
    <row r="81" spans="1:16" ht="16.2" customHeight="1">
      <c r="A81" s="7" t="s">
        <v>60</v>
      </c>
      <c r="B81" s="680" t="s">
        <v>334</v>
      </c>
      <c r="C81" s="681"/>
      <c r="D81" s="681"/>
      <c r="E81" s="681"/>
      <c r="F81" s="681"/>
      <c r="G81" s="681"/>
      <c r="H81" s="681"/>
      <c r="I81" s="681"/>
      <c r="J81" s="681"/>
      <c r="K81" s="681"/>
      <c r="L81" s="681"/>
      <c r="M81" s="682"/>
      <c r="N81" s="803">
        <f>'BASE DE CÁLCULO'!R43</f>
        <v>6.43</v>
      </c>
      <c r="O81" s="804"/>
      <c r="P81" s="805"/>
    </row>
    <row r="82" spans="1:16" ht="15.6">
      <c r="A82" s="633" t="s">
        <v>480</v>
      </c>
      <c r="B82" s="634"/>
      <c r="C82" s="634"/>
      <c r="D82" s="634"/>
      <c r="E82" s="634"/>
      <c r="F82" s="634"/>
      <c r="G82" s="634"/>
      <c r="H82" s="634"/>
      <c r="I82" s="634"/>
      <c r="J82" s="634"/>
      <c r="K82" s="634"/>
      <c r="L82" s="634"/>
      <c r="M82" s="635"/>
      <c r="N82" s="806">
        <f>SUM(N75:P81)</f>
        <v>685.61</v>
      </c>
      <c r="O82" s="807"/>
      <c r="P82" s="808"/>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335.65</v>
      </c>
      <c r="O88" s="769"/>
      <c r="P88" s="770"/>
    </row>
    <row r="89" spans="1:16" ht="15.6">
      <c r="A89" s="11" t="s">
        <v>491</v>
      </c>
      <c r="B89" s="699" t="s">
        <v>518</v>
      </c>
      <c r="C89" s="700"/>
      <c r="D89" s="700"/>
      <c r="E89" s="700"/>
      <c r="F89" s="700"/>
      <c r="G89" s="700"/>
      <c r="H89" s="700"/>
      <c r="I89" s="700"/>
      <c r="J89" s="700"/>
      <c r="K89" s="700"/>
      <c r="L89" s="700"/>
      <c r="M89" s="701"/>
      <c r="N89" s="769">
        <f>N68</f>
        <v>464.37</v>
      </c>
      <c r="O89" s="769"/>
      <c r="P89" s="770"/>
    </row>
    <row r="90" spans="1:16" ht="15.6">
      <c r="A90" s="9" t="s">
        <v>506</v>
      </c>
      <c r="B90" s="699" t="s">
        <v>519</v>
      </c>
      <c r="C90" s="700"/>
      <c r="D90" s="700"/>
      <c r="E90" s="700"/>
      <c r="F90" s="700"/>
      <c r="G90" s="700"/>
      <c r="H90" s="700"/>
      <c r="I90" s="700"/>
      <c r="J90" s="700"/>
      <c r="K90" s="700"/>
      <c r="L90" s="700"/>
      <c r="M90" s="701"/>
      <c r="N90" s="769">
        <f>N82</f>
        <v>685.61</v>
      </c>
      <c r="O90" s="769"/>
      <c r="P90" s="770"/>
    </row>
    <row r="91" spans="1:16" ht="15.6">
      <c r="A91" s="633" t="s">
        <v>480</v>
      </c>
      <c r="B91" s="702"/>
      <c r="C91" s="702"/>
      <c r="D91" s="702"/>
      <c r="E91" s="702"/>
      <c r="F91" s="702"/>
      <c r="G91" s="702"/>
      <c r="H91" s="702"/>
      <c r="I91" s="702"/>
      <c r="J91" s="702"/>
      <c r="K91" s="702"/>
      <c r="L91" s="702"/>
      <c r="M91" s="703"/>
      <c r="N91" s="765">
        <f>SUM(N88:P90)</f>
        <v>1485.63</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5.3</v>
      </c>
      <c r="O95" s="769"/>
      <c r="P95" s="770"/>
    </row>
    <row r="96" spans="1:16" ht="15.6">
      <c r="A96" s="7" t="s">
        <v>27</v>
      </c>
      <c r="B96" s="680" t="s">
        <v>522</v>
      </c>
      <c r="C96" s="681"/>
      <c r="D96" s="681"/>
      <c r="E96" s="681"/>
      <c r="F96" s="681"/>
      <c r="G96" s="681"/>
      <c r="H96" s="681"/>
      <c r="I96" s="681"/>
      <c r="J96" s="681"/>
      <c r="K96" s="681"/>
      <c r="L96" s="681"/>
      <c r="M96" s="682"/>
      <c r="N96" s="768">
        <f>N46*'BASE DE CÁLCULO'!C89</f>
        <v>0.38</v>
      </c>
      <c r="O96" s="769"/>
      <c r="P96" s="770"/>
    </row>
    <row r="97" spans="1:16" ht="15.6">
      <c r="A97" s="7" t="s">
        <v>30</v>
      </c>
      <c r="B97" s="680" t="s">
        <v>523</v>
      </c>
      <c r="C97" s="681"/>
      <c r="D97" s="681"/>
      <c r="E97" s="681"/>
      <c r="F97" s="681"/>
      <c r="G97" s="681"/>
      <c r="H97" s="681"/>
      <c r="I97" s="681"/>
      <c r="J97" s="681"/>
      <c r="K97" s="681"/>
      <c r="L97" s="681"/>
      <c r="M97" s="682"/>
      <c r="N97" s="768">
        <f>N46*'BASE DE CÁLCULO'!C90</f>
        <v>0.13</v>
      </c>
      <c r="O97" s="769"/>
      <c r="P97" s="770"/>
    </row>
    <row r="98" spans="1:16" ht="15.6">
      <c r="A98" s="7" t="s">
        <v>32</v>
      </c>
      <c r="B98" s="680" t="s">
        <v>524</v>
      </c>
      <c r="C98" s="681"/>
      <c r="D98" s="681"/>
      <c r="E98" s="681"/>
      <c r="F98" s="681"/>
      <c r="G98" s="681"/>
      <c r="H98" s="681"/>
      <c r="I98" s="681"/>
      <c r="J98" s="681"/>
      <c r="K98" s="681"/>
      <c r="L98" s="681"/>
      <c r="M98" s="682"/>
      <c r="N98" s="768">
        <f>N46*'BASE DE CÁLCULO'!C91</f>
        <v>24.48</v>
      </c>
      <c r="O98" s="769"/>
      <c r="P98" s="770"/>
    </row>
    <row r="99" spans="1:16" ht="15.6">
      <c r="A99" s="7" t="s">
        <v>56</v>
      </c>
      <c r="B99" s="680" t="s">
        <v>525</v>
      </c>
      <c r="C99" s="681"/>
      <c r="D99" s="681"/>
      <c r="E99" s="681"/>
      <c r="F99" s="681"/>
      <c r="G99" s="681"/>
      <c r="H99" s="681"/>
      <c r="I99" s="681"/>
      <c r="J99" s="681"/>
      <c r="K99" s="681"/>
      <c r="L99" s="681"/>
      <c r="M99" s="682"/>
      <c r="N99" s="768">
        <f>N46*'BASE DE CÁLCULO'!C92</f>
        <v>8.9600000000000009</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0.76</v>
      </c>
      <c r="O100" s="684"/>
      <c r="P100" s="685"/>
    </row>
    <row r="101" spans="1:16" ht="15.6">
      <c r="A101" s="633" t="s">
        <v>480</v>
      </c>
      <c r="B101" s="634"/>
      <c r="C101" s="634"/>
      <c r="D101" s="634"/>
      <c r="E101" s="634"/>
      <c r="F101" s="634"/>
      <c r="G101" s="634"/>
      <c r="H101" s="634"/>
      <c r="I101" s="634"/>
      <c r="J101" s="634"/>
      <c r="K101" s="634"/>
      <c r="L101" s="634"/>
      <c r="M101" s="635"/>
      <c r="N101" s="765">
        <f>SUM(N95:P100)</f>
        <v>40.01</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143.85</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14.39</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23.98</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0.38</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5.8</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3.03</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1.01</v>
      </c>
      <c r="O115" s="769"/>
      <c r="P115" s="770"/>
    </row>
    <row r="116" spans="1:16" ht="15.6">
      <c r="A116" s="633" t="s">
        <v>480</v>
      </c>
      <c r="B116" s="634"/>
      <c r="C116" s="634"/>
      <c r="D116" s="634"/>
      <c r="E116" s="634"/>
      <c r="F116" s="634"/>
      <c r="G116" s="634"/>
      <c r="H116" s="634"/>
      <c r="I116" s="634"/>
      <c r="J116" s="634"/>
      <c r="K116" s="634"/>
      <c r="L116" s="634"/>
      <c r="M116" s="635"/>
      <c r="N116" s="765">
        <f>SUM(N109:P115)</f>
        <v>192.44</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3.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192.44</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192.44</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CÁLCULO'!O43</f>
        <v>145.94999999999999</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CÁLCULO'!P43</f>
        <v>1.37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147.32</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156.36000000000001</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328.36</v>
      </c>
      <c r="O142" s="684"/>
      <c r="P142" s="685"/>
    </row>
    <row r="143" spans="1:16" ht="16.5" customHeight="1">
      <c r="A143" s="7" t="s">
        <v>30</v>
      </c>
      <c r="B143" s="633" t="s">
        <v>552</v>
      </c>
      <c r="C143" s="634"/>
      <c r="D143" s="634"/>
      <c r="E143" s="634"/>
      <c r="F143" s="634"/>
      <c r="G143" s="634"/>
      <c r="H143" s="634"/>
      <c r="I143" s="634"/>
      <c r="J143" s="634"/>
      <c r="K143" s="635"/>
      <c r="L143" s="694">
        <f>SUM(L144:M146)</f>
        <v>0.1275</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382.93</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CÁLCULO'!C70</f>
        <v>3.5000000000000003E-2</v>
      </c>
      <c r="M146" s="626"/>
      <c r="N146" s="683">
        <f>(($N$158+$N$141+$N$142)/(100%-$L$143))*L146</f>
        <v>144.88999999999999</v>
      </c>
      <c r="O146" s="684"/>
      <c r="P146" s="685"/>
    </row>
    <row r="147" spans="1:17" ht="15.6">
      <c r="A147" s="633" t="s">
        <v>480</v>
      </c>
      <c r="B147" s="634"/>
      <c r="C147" s="634"/>
      <c r="D147" s="634"/>
      <c r="E147" s="634"/>
      <c r="F147" s="634"/>
      <c r="G147" s="634"/>
      <c r="H147" s="634"/>
      <c r="I147" s="634"/>
      <c r="J147" s="634"/>
      <c r="K147" s="635"/>
      <c r="L147" s="694">
        <f>SUM(L141:M143)</f>
        <v>0.27750000000000002</v>
      </c>
      <c r="M147" s="620"/>
      <c r="N147" s="765">
        <f>SUM(N141:P146)</f>
        <v>1012.54</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1261.8699999999999</v>
      </c>
      <c r="O153" s="769"/>
      <c r="P153" s="770"/>
    </row>
    <row r="154" spans="1:17" ht="15.6">
      <c r="A154" s="7" t="s">
        <v>27</v>
      </c>
      <c r="B154" s="680" t="s">
        <v>561</v>
      </c>
      <c r="C154" s="681"/>
      <c r="D154" s="681"/>
      <c r="E154" s="681"/>
      <c r="F154" s="681"/>
      <c r="G154" s="681"/>
      <c r="H154" s="681"/>
      <c r="I154" s="681"/>
      <c r="J154" s="681"/>
      <c r="K154" s="681"/>
      <c r="L154" s="681"/>
      <c r="M154" s="682"/>
      <c r="N154" s="768">
        <f>N91</f>
        <v>1485.63</v>
      </c>
      <c r="O154" s="769"/>
      <c r="P154" s="770"/>
    </row>
    <row r="155" spans="1:17" ht="15.6">
      <c r="A155" s="7" t="s">
        <v>30</v>
      </c>
      <c r="B155" s="680" t="s">
        <v>562</v>
      </c>
      <c r="C155" s="681"/>
      <c r="D155" s="681"/>
      <c r="E155" s="681"/>
      <c r="F155" s="681"/>
      <c r="G155" s="681"/>
      <c r="H155" s="681"/>
      <c r="I155" s="681"/>
      <c r="J155" s="681"/>
      <c r="K155" s="681"/>
      <c r="L155" s="681"/>
      <c r="M155" s="682"/>
      <c r="N155" s="768">
        <f>N101</f>
        <v>40.01</v>
      </c>
      <c r="O155" s="769"/>
      <c r="P155" s="770"/>
    </row>
    <row r="156" spans="1:17" ht="15.6">
      <c r="A156" s="7" t="s">
        <v>32</v>
      </c>
      <c r="B156" s="680" t="s">
        <v>563</v>
      </c>
      <c r="C156" s="681"/>
      <c r="D156" s="681"/>
      <c r="E156" s="681"/>
      <c r="F156" s="681"/>
      <c r="G156" s="681"/>
      <c r="H156" s="681"/>
      <c r="I156" s="681"/>
      <c r="J156" s="681"/>
      <c r="K156" s="681"/>
      <c r="L156" s="681"/>
      <c r="M156" s="682"/>
      <c r="N156" s="768">
        <f>N129</f>
        <v>192.44</v>
      </c>
      <c r="O156" s="769"/>
      <c r="P156" s="770"/>
    </row>
    <row r="157" spans="1:17" ht="15.6">
      <c r="A157" s="7" t="s">
        <v>56</v>
      </c>
      <c r="B157" s="680" t="s">
        <v>564</v>
      </c>
      <c r="C157" s="681"/>
      <c r="D157" s="681"/>
      <c r="E157" s="681"/>
      <c r="F157" s="681"/>
      <c r="G157" s="681"/>
      <c r="H157" s="681"/>
      <c r="I157" s="681"/>
      <c r="J157" s="681"/>
      <c r="K157" s="681"/>
      <c r="L157" s="681"/>
      <c r="M157" s="682"/>
      <c r="N157" s="768">
        <f>N136</f>
        <v>147.32</v>
      </c>
      <c r="O157" s="769"/>
      <c r="P157" s="770"/>
    </row>
    <row r="158" spans="1:17" ht="15.6">
      <c r="A158" s="633" t="s">
        <v>565</v>
      </c>
      <c r="B158" s="634"/>
      <c r="C158" s="634"/>
      <c r="D158" s="634"/>
      <c r="E158" s="634"/>
      <c r="F158" s="634"/>
      <c r="G158" s="634"/>
      <c r="H158" s="634"/>
      <c r="I158" s="634"/>
      <c r="J158" s="634"/>
      <c r="K158" s="634"/>
      <c r="L158" s="634"/>
      <c r="M158" s="635"/>
      <c r="N158" s="765">
        <f>SUM(N153:P157)</f>
        <v>3127.27</v>
      </c>
      <c r="O158" s="766"/>
      <c r="P158" s="767"/>
    </row>
    <row r="159" spans="1:17" ht="15.6">
      <c r="A159" s="7" t="s">
        <v>58</v>
      </c>
      <c r="B159" s="680" t="s">
        <v>566</v>
      </c>
      <c r="C159" s="681"/>
      <c r="D159" s="681"/>
      <c r="E159" s="681"/>
      <c r="F159" s="681"/>
      <c r="G159" s="681"/>
      <c r="H159" s="681"/>
      <c r="I159" s="681"/>
      <c r="J159" s="681"/>
      <c r="K159" s="681"/>
      <c r="L159" s="681"/>
      <c r="M159" s="682"/>
      <c r="N159" s="768">
        <f>N147</f>
        <v>1012.54</v>
      </c>
      <c r="O159" s="769"/>
      <c r="P159" s="770"/>
    </row>
    <row r="160" spans="1:17" ht="15.6">
      <c r="A160" s="633" t="s">
        <v>567</v>
      </c>
      <c r="B160" s="634"/>
      <c r="C160" s="634"/>
      <c r="D160" s="634"/>
      <c r="E160" s="634"/>
      <c r="F160" s="634"/>
      <c r="G160" s="634"/>
      <c r="H160" s="634"/>
      <c r="I160" s="634"/>
      <c r="J160" s="634"/>
      <c r="K160" s="634"/>
      <c r="L160" s="634"/>
      <c r="M160" s="635"/>
      <c r="N160" s="765">
        <f>SUM(N158:P159)</f>
        <v>4139.8100000000004</v>
      </c>
      <c r="O160" s="766"/>
      <c r="P160" s="767"/>
    </row>
    <row r="161" spans="1:16" ht="15.6">
      <c r="A161" s="633" t="s">
        <v>568</v>
      </c>
      <c r="B161" s="634"/>
      <c r="C161" s="634"/>
      <c r="D161" s="634"/>
      <c r="E161" s="634"/>
      <c r="F161" s="634"/>
      <c r="G161" s="634"/>
      <c r="H161" s="634"/>
      <c r="I161" s="634"/>
      <c r="J161" s="634"/>
      <c r="K161" s="634"/>
      <c r="L161" s="634"/>
      <c r="M161" s="635"/>
      <c r="N161" s="665">
        <f>N160*N20</f>
        <v>8279.6200000000008</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109" zoomScale="85" zoomScaleNormal="85" workbookViewId="0">
      <selection activeCell="N150" sqref="N150"/>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CÁLCULO'!B44</f>
        <v>Alegre/Jerônimo Monteiro/ES</v>
      </c>
      <c r="O12" s="740"/>
      <c r="P12" s="741"/>
    </row>
    <row r="13" spans="1:16" ht="15.6">
      <c r="A13" s="7" t="s">
        <v>30</v>
      </c>
      <c r="B13" s="680" t="s">
        <v>455</v>
      </c>
      <c r="C13" s="681"/>
      <c r="D13" s="681"/>
      <c r="E13" s="681"/>
      <c r="F13" s="681"/>
      <c r="G13" s="681"/>
      <c r="H13" s="681"/>
      <c r="I13" s="681"/>
      <c r="J13" s="681"/>
      <c r="K13" s="681"/>
      <c r="L13" s="681"/>
      <c r="M13" s="682"/>
      <c r="N13" s="739" t="str">
        <f>'BASE DE CÁLCULO'!D44</f>
        <v>SECOTUH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CÁLCULO'!C44</f>
        <v>ASG II</v>
      </c>
      <c r="B20" s="625"/>
      <c r="C20" s="625"/>
      <c r="D20" s="626"/>
      <c r="E20" s="751" t="s">
        <v>459</v>
      </c>
      <c r="F20" s="752"/>
      <c r="G20" s="752"/>
      <c r="H20" s="752"/>
      <c r="I20" s="752"/>
      <c r="J20" s="752"/>
      <c r="K20" s="752"/>
      <c r="L20" s="752"/>
      <c r="M20" s="753"/>
      <c r="N20" s="789">
        <f>'BASE DE CÁLCULO'!F44</f>
        <v>3</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ASG II</v>
      </c>
      <c r="O30" s="740"/>
      <c r="P30" s="741"/>
    </row>
    <row r="31" spans="1:16" ht="15.6">
      <c r="A31" s="7">
        <v>2</v>
      </c>
      <c r="B31" s="680" t="s">
        <v>466</v>
      </c>
      <c r="C31" s="681"/>
      <c r="D31" s="681"/>
      <c r="E31" s="681"/>
      <c r="F31" s="681"/>
      <c r="G31" s="681"/>
      <c r="H31" s="681"/>
      <c r="I31" s="681"/>
      <c r="J31" s="681"/>
      <c r="K31" s="681"/>
      <c r="L31" s="681"/>
      <c r="M31" s="682"/>
      <c r="N31" s="781" t="s">
        <v>572</v>
      </c>
      <c r="O31" s="779"/>
      <c r="P31" s="780"/>
    </row>
    <row r="32" spans="1:16" ht="15.6">
      <c r="A32" s="7">
        <v>3</v>
      </c>
      <c r="B32" s="680" t="s">
        <v>468</v>
      </c>
      <c r="C32" s="681"/>
      <c r="D32" s="681"/>
      <c r="E32" s="681"/>
      <c r="F32" s="681"/>
      <c r="G32" s="681"/>
      <c r="H32" s="681"/>
      <c r="I32" s="681"/>
      <c r="J32" s="681"/>
      <c r="K32" s="681"/>
      <c r="L32" s="681"/>
      <c r="M32" s="682"/>
      <c r="N32" s="772">
        <f>'BASE DE CÁLCULO'!G44</f>
        <v>1261.8699999999999</v>
      </c>
      <c r="O32" s="773"/>
      <c r="P32" s="774"/>
    </row>
    <row r="33" spans="1:16" ht="15.6">
      <c r="A33" s="7">
        <v>4</v>
      </c>
      <c r="B33" s="680" t="s">
        <v>469</v>
      </c>
      <c r="C33" s="681"/>
      <c r="D33" s="681"/>
      <c r="E33" s="681"/>
      <c r="F33" s="681"/>
      <c r="G33" s="681"/>
      <c r="H33" s="681"/>
      <c r="I33" s="681"/>
      <c r="J33" s="681"/>
      <c r="K33" s="681"/>
      <c r="L33" s="681"/>
      <c r="M33" s="682"/>
      <c r="N33" s="782" t="str">
        <f>'BASE DE CÁLCULO'!E44</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CÁLCULO'!C14</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1261.8699999999999</v>
      </c>
      <c r="O39" s="773"/>
      <c r="P39" s="774"/>
    </row>
    <row r="40" spans="1:16" ht="15.6">
      <c r="A40" s="7" t="s">
        <v>27</v>
      </c>
      <c r="B40" s="680" t="s">
        <v>474</v>
      </c>
      <c r="C40" s="681"/>
      <c r="D40" s="681"/>
      <c r="E40" s="681"/>
      <c r="F40" s="681"/>
      <c r="G40" s="681"/>
      <c r="H40" s="681"/>
      <c r="I40" s="681"/>
      <c r="J40" s="681"/>
      <c r="K40" s="681"/>
      <c r="L40" s="681"/>
      <c r="M40" s="682"/>
      <c r="N40" s="772" t="str">
        <f>'BASE DE CÁLCULO'!I44</f>
        <v>-</v>
      </c>
      <c r="O40" s="773"/>
      <c r="P40" s="774"/>
    </row>
    <row r="41" spans="1:16" ht="15.6">
      <c r="A41" s="7" t="s">
        <v>30</v>
      </c>
      <c r="B41" s="680" t="s">
        <v>475</v>
      </c>
      <c r="C41" s="681"/>
      <c r="D41" s="681"/>
      <c r="E41" s="681"/>
      <c r="F41" s="681"/>
      <c r="G41" s="681"/>
      <c r="H41" s="681"/>
      <c r="I41" s="681"/>
      <c r="J41" s="681"/>
      <c r="K41" s="681"/>
      <c r="L41" s="681"/>
      <c r="M41" s="682"/>
      <c r="N41" s="772">
        <f>'BASE DE CÁLCULO'!J44</f>
        <v>484.8</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1746.67</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199.12</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265.49</v>
      </c>
      <c r="O53" s="773"/>
      <c r="P53" s="774"/>
    </row>
    <row r="54" spans="1:16" ht="15.6">
      <c r="A54" s="633" t="s">
        <v>480</v>
      </c>
      <c r="B54" s="634"/>
      <c r="C54" s="634"/>
      <c r="D54" s="634"/>
      <c r="E54" s="634"/>
      <c r="F54" s="634"/>
      <c r="G54" s="634"/>
      <c r="H54" s="634"/>
      <c r="I54" s="634"/>
      <c r="J54" s="634"/>
      <c r="K54" s="634"/>
      <c r="L54" s="634"/>
      <c r="M54" s="635"/>
      <c r="N54" s="775">
        <f>SUM(N52:P53)</f>
        <v>464.61</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349.33</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43.67</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52.4</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26.2</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17.47</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10.48</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3.49</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139.72999999999999</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642.77</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803">
        <f>'BASE DE CÁLCULO'!K44</f>
        <v>88.14</v>
      </c>
      <c r="O75" s="804"/>
      <c r="P75" s="805"/>
    </row>
    <row r="76" spans="1:16" ht="16.5" customHeight="1">
      <c r="A76" s="7" t="s">
        <v>27</v>
      </c>
      <c r="B76" s="680" t="s">
        <v>331</v>
      </c>
      <c r="C76" s="681"/>
      <c r="D76" s="681"/>
      <c r="E76" s="681"/>
      <c r="F76" s="681"/>
      <c r="G76" s="681"/>
      <c r="H76" s="681"/>
      <c r="I76" s="681"/>
      <c r="J76" s="681"/>
      <c r="K76" s="681"/>
      <c r="L76" s="681"/>
      <c r="M76" s="682"/>
      <c r="N76" s="803">
        <f>'BASE DE CÁLCULO'!L44</f>
        <v>158.11000000000001</v>
      </c>
      <c r="O76" s="804"/>
      <c r="P76" s="805"/>
    </row>
    <row r="77" spans="1:16" ht="15.6">
      <c r="A77" s="7" t="s">
        <v>30</v>
      </c>
      <c r="B77" s="680" t="s">
        <v>508</v>
      </c>
      <c r="C77" s="681"/>
      <c r="D77" s="681"/>
      <c r="E77" s="681"/>
      <c r="F77" s="681"/>
      <c r="G77" s="681"/>
      <c r="H77" s="681"/>
      <c r="I77" s="681"/>
      <c r="J77" s="681"/>
      <c r="K77" s="681"/>
      <c r="L77" s="681"/>
      <c r="M77" s="682"/>
      <c r="N77" s="803">
        <f>'BASE DE CÁLCULO'!N44</f>
        <v>233.37</v>
      </c>
      <c r="O77" s="804"/>
      <c r="P77" s="805"/>
    </row>
    <row r="78" spans="1:16" ht="15.6">
      <c r="A78" s="7" t="s">
        <v>32</v>
      </c>
      <c r="B78" s="680" t="s">
        <v>509</v>
      </c>
      <c r="C78" s="681"/>
      <c r="D78" s="681"/>
      <c r="E78" s="681"/>
      <c r="F78" s="681"/>
      <c r="G78" s="681"/>
      <c r="H78" s="681"/>
      <c r="I78" s="681"/>
      <c r="J78" s="681"/>
      <c r="K78" s="681"/>
      <c r="L78" s="681"/>
      <c r="M78" s="682"/>
      <c r="N78" s="803">
        <f>'BASE DE CÁLCULO'!M44</f>
        <v>0</v>
      </c>
      <c r="O78" s="804"/>
      <c r="P78" s="805"/>
    </row>
    <row r="79" spans="1:16" ht="15.6">
      <c r="A79" s="7" t="s">
        <v>56</v>
      </c>
      <c r="B79" s="680" t="s">
        <v>510</v>
      </c>
      <c r="C79" s="681"/>
      <c r="D79" s="681"/>
      <c r="E79" s="681"/>
      <c r="F79" s="681"/>
      <c r="G79" s="681"/>
      <c r="H79" s="681"/>
      <c r="I79" s="681"/>
      <c r="J79" s="681"/>
      <c r="K79" s="681"/>
      <c r="L79" s="681"/>
      <c r="M79" s="682"/>
      <c r="N79" s="803">
        <f>'BASE DE CÁLCULO'!Q44</f>
        <v>25.3</v>
      </c>
      <c r="O79" s="804"/>
      <c r="P79" s="805"/>
    </row>
    <row r="80" spans="1:16" ht="15.6">
      <c r="A80" s="7" t="s">
        <v>58</v>
      </c>
      <c r="B80" s="680" t="s">
        <v>511</v>
      </c>
      <c r="C80" s="681"/>
      <c r="D80" s="681"/>
      <c r="E80" s="681"/>
      <c r="F80" s="681"/>
      <c r="G80" s="681"/>
      <c r="H80" s="681"/>
      <c r="I80" s="681"/>
      <c r="J80" s="681"/>
      <c r="K80" s="681"/>
      <c r="L80" s="681"/>
      <c r="M80" s="682"/>
      <c r="N80" s="800">
        <f>'BASE DE CÁLCULO'!S44</f>
        <v>174.26</v>
      </c>
      <c r="O80" s="801"/>
      <c r="P80" s="802"/>
    </row>
    <row r="81" spans="1:16" ht="16.2" customHeight="1">
      <c r="A81" s="7" t="s">
        <v>60</v>
      </c>
      <c r="B81" s="680" t="s">
        <v>334</v>
      </c>
      <c r="C81" s="681"/>
      <c r="D81" s="681"/>
      <c r="E81" s="681"/>
      <c r="F81" s="681"/>
      <c r="G81" s="681"/>
      <c r="H81" s="681"/>
      <c r="I81" s="681"/>
      <c r="J81" s="681"/>
      <c r="K81" s="681"/>
      <c r="L81" s="681"/>
      <c r="M81" s="682"/>
      <c r="N81" s="803">
        <f>'BASE DE CÁLCULO'!R44</f>
        <v>6.43</v>
      </c>
      <c r="O81" s="804"/>
      <c r="P81" s="805"/>
    </row>
    <row r="82" spans="1:16" ht="15.6">
      <c r="A82" s="633" t="s">
        <v>480</v>
      </c>
      <c r="B82" s="634"/>
      <c r="C82" s="634"/>
      <c r="D82" s="634"/>
      <c r="E82" s="634"/>
      <c r="F82" s="634"/>
      <c r="G82" s="634"/>
      <c r="H82" s="634"/>
      <c r="I82" s="634"/>
      <c r="J82" s="634"/>
      <c r="K82" s="634"/>
      <c r="L82" s="634"/>
      <c r="M82" s="635"/>
      <c r="N82" s="806">
        <f>SUM(N75:P81)</f>
        <v>685.61</v>
      </c>
      <c r="O82" s="807"/>
      <c r="P82" s="808"/>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464.61</v>
      </c>
      <c r="O88" s="769"/>
      <c r="P88" s="770"/>
    </row>
    <row r="89" spans="1:16" ht="15.6">
      <c r="A89" s="11" t="s">
        <v>491</v>
      </c>
      <c r="B89" s="699" t="s">
        <v>518</v>
      </c>
      <c r="C89" s="700"/>
      <c r="D89" s="700"/>
      <c r="E89" s="700"/>
      <c r="F89" s="700"/>
      <c r="G89" s="700"/>
      <c r="H89" s="700"/>
      <c r="I89" s="700"/>
      <c r="J89" s="700"/>
      <c r="K89" s="700"/>
      <c r="L89" s="700"/>
      <c r="M89" s="701"/>
      <c r="N89" s="769">
        <f>N68</f>
        <v>642.77</v>
      </c>
      <c r="O89" s="769"/>
      <c r="P89" s="770"/>
    </row>
    <row r="90" spans="1:16" ht="15.6">
      <c r="A90" s="9" t="s">
        <v>506</v>
      </c>
      <c r="B90" s="699" t="s">
        <v>519</v>
      </c>
      <c r="C90" s="700"/>
      <c r="D90" s="700"/>
      <c r="E90" s="700"/>
      <c r="F90" s="700"/>
      <c r="G90" s="700"/>
      <c r="H90" s="700"/>
      <c r="I90" s="700"/>
      <c r="J90" s="700"/>
      <c r="K90" s="700"/>
      <c r="L90" s="700"/>
      <c r="M90" s="701"/>
      <c r="N90" s="769">
        <f>N82</f>
        <v>685.61</v>
      </c>
      <c r="O90" s="769"/>
      <c r="P90" s="770"/>
    </row>
    <row r="91" spans="1:16" ht="15.6">
      <c r="A91" s="633" t="s">
        <v>480</v>
      </c>
      <c r="B91" s="702"/>
      <c r="C91" s="702"/>
      <c r="D91" s="702"/>
      <c r="E91" s="702"/>
      <c r="F91" s="702"/>
      <c r="G91" s="702"/>
      <c r="H91" s="702"/>
      <c r="I91" s="702"/>
      <c r="J91" s="702"/>
      <c r="K91" s="702"/>
      <c r="L91" s="702"/>
      <c r="M91" s="703"/>
      <c r="N91" s="765">
        <f>SUM(N88:P90)</f>
        <v>1792.99</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7.34</v>
      </c>
      <c r="O95" s="769"/>
      <c r="P95" s="770"/>
    </row>
    <row r="96" spans="1:16" ht="15.6">
      <c r="A96" s="7" t="s">
        <v>27</v>
      </c>
      <c r="B96" s="680" t="s">
        <v>522</v>
      </c>
      <c r="C96" s="681"/>
      <c r="D96" s="681"/>
      <c r="E96" s="681"/>
      <c r="F96" s="681"/>
      <c r="G96" s="681"/>
      <c r="H96" s="681"/>
      <c r="I96" s="681"/>
      <c r="J96" s="681"/>
      <c r="K96" s="681"/>
      <c r="L96" s="681"/>
      <c r="M96" s="682"/>
      <c r="N96" s="768">
        <f>N46*'BASE DE CÁLCULO'!C89</f>
        <v>0.52</v>
      </c>
      <c r="O96" s="769"/>
      <c r="P96" s="770"/>
    </row>
    <row r="97" spans="1:16" ht="15.6">
      <c r="A97" s="7" t="s">
        <v>30</v>
      </c>
      <c r="B97" s="680" t="s">
        <v>523</v>
      </c>
      <c r="C97" s="681"/>
      <c r="D97" s="681"/>
      <c r="E97" s="681"/>
      <c r="F97" s="681"/>
      <c r="G97" s="681"/>
      <c r="H97" s="681"/>
      <c r="I97" s="681"/>
      <c r="J97" s="681"/>
      <c r="K97" s="681"/>
      <c r="L97" s="681"/>
      <c r="M97" s="682"/>
      <c r="N97" s="768">
        <f>N46*'BASE DE CÁLCULO'!C90</f>
        <v>0.17</v>
      </c>
      <c r="O97" s="769"/>
      <c r="P97" s="770"/>
    </row>
    <row r="98" spans="1:16" ht="15.6">
      <c r="A98" s="7" t="s">
        <v>32</v>
      </c>
      <c r="B98" s="680" t="s">
        <v>524</v>
      </c>
      <c r="C98" s="681"/>
      <c r="D98" s="681"/>
      <c r="E98" s="681"/>
      <c r="F98" s="681"/>
      <c r="G98" s="681"/>
      <c r="H98" s="681"/>
      <c r="I98" s="681"/>
      <c r="J98" s="681"/>
      <c r="K98" s="681"/>
      <c r="L98" s="681"/>
      <c r="M98" s="682"/>
      <c r="N98" s="768">
        <f>N46*'BASE DE CÁLCULO'!C91</f>
        <v>33.89</v>
      </c>
      <c r="O98" s="769"/>
      <c r="P98" s="770"/>
    </row>
    <row r="99" spans="1:16" ht="15.6">
      <c r="A99" s="7" t="s">
        <v>56</v>
      </c>
      <c r="B99" s="680" t="s">
        <v>525</v>
      </c>
      <c r="C99" s="681"/>
      <c r="D99" s="681"/>
      <c r="E99" s="681"/>
      <c r="F99" s="681"/>
      <c r="G99" s="681"/>
      <c r="H99" s="681"/>
      <c r="I99" s="681"/>
      <c r="J99" s="681"/>
      <c r="K99" s="681"/>
      <c r="L99" s="681"/>
      <c r="M99" s="682"/>
      <c r="N99" s="768">
        <f>N46*'BASE DE CÁLCULO'!C92</f>
        <v>12.4</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1.05</v>
      </c>
      <c r="O100" s="684"/>
      <c r="P100" s="685"/>
    </row>
    <row r="101" spans="1:16" ht="15.6">
      <c r="A101" s="633" t="s">
        <v>480</v>
      </c>
      <c r="B101" s="634"/>
      <c r="C101" s="634"/>
      <c r="D101" s="634"/>
      <c r="E101" s="634"/>
      <c r="F101" s="634"/>
      <c r="G101" s="634"/>
      <c r="H101" s="634"/>
      <c r="I101" s="634"/>
      <c r="J101" s="634"/>
      <c r="K101" s="634"/>
      <c r="L101" s="634"/>
      <c r="M101" s="635"/>
      <c r="N101" s="765">
        <f>SUM(N95:P100)</f>
        <v>55.37</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199.12</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19.91</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33.19</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0.52</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8.0299999999999994</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4.1900000000000004</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1.4</v>
      </c>
      <c r="O115" s="769"/>
      <c r="P115" s="770"/>
    </row>
    <row r="116" spans="1:16" ht="15.6">
      <c r="A116" s="633" t="s">
        <v>480</v>
      </c>
      <c r="B116" s="634"/>
      <c r="C116" s="634"/>
      <c r="D116" s="634"/>
      <c r="E116" s="634"/>
      <c r="F116" s="634"/>
      <c r="G116" s="634"/>
      <c r="H116" s="634"/>
      <c r="I116" s="634"/>
      <c r="J116" s="634"/>
      <c r="K116" s="634"/>
      <c r="L116" s="634"/>
      <c r="M116" s="635"/>
      <c r="N116" s="765">
        <f>SUM(N109:P115)</f>
        <v>266.36</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3.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266.36</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266.36</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CÁLCULO'!O44</f>
        <v>152.61000000000001</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CÁLCULO'!P44</f>
        <v>1.37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153.97999999999999</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200.77</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421.61</v>
      </c>
      <c r="O142" s="684"/>
      <c r="P142" s="685"/>
    </row>
    <row r="143" spans="1:16" ht="16.5" customHeight="1">
      <c r="A143" s="7" t="s">
        <v>30</v>
      </c>
      <c r="B143" s="633" t="s">
        <v>552</v>
      </c>
      <c r="C143" s="634"/>
      <c r="D143" s="634"/>
      <c r="E143" s="634"/>
      <c r="F143" s="634"/>
      <c r="G143" s="634"/>
      <c r="H143" s="634"/>
      <c r="I143" s="634"/>
      <c r="J143" s="634"/>
      <c r="K143" s="635"/>
      <c r="L143" s="694">
        <f>SUM(L144:M146)</f>
        <v>0.1275</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491.68</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CÁLCULO'!C70</f>
        <v>3.5000000000000003E-2</v>
      </c>
      <c r="M146" s="626"/>
      <c r="N146" s="683">
        <f>(($N$158+$N$141+$N$142)/(100%-$L$143))*L146</f>
        <v>186.04</v>
      </c>
      <c r="O146" s="684"/>
      <c r="P146" s="685"/>
    </row>
    <row r="147" spans="1:17" ht="15.6">
      <c r="A147" s="633" t="s">
        <v>480</v>
      </c>
      <c r="B147" s="634"/>
      <c r="C147" s="634"/>
      <c r="D147" s="634"/>
      <c r="E147" s="634"/>
      <c r="F147" s="634"/>
      <c r="G147" s="634"/>
      <c r="H147" s="634"/>
      <c r="I147" s="634"/>
      <c r="J147" s="634"/>
      <c r="K147" s="635"/>
      <c r="L147" s="694">
        <f>SUM(L141:M143)</f>
        <v>0.27750000000000002</v>
      </c>
      <c r="M147" s="620"/>
      <c r="N147" s="765">
        <f>SUM(N141:P146)</f>
        <v>1300.0999999999999</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1746.67</v>
      </c>
      <c r="O153" s="769"/>
      <c r="P153" s="770"/>
    </row>
    <row r="154" spans="1:17" ht="15.6">
      <c r="A154" s="7" t="s">
        <v>27</v>
      </c>
      <c r="B154" s="680" t="s">
        <v>561</v>
      </c>
      <c r="C154" s="681"/>
      <c r="D154" s="681"/>
      <c r="E154" s="681"/>
      <c r="F154" s="681"/>
      <c r="G154" s="681"/>
      <c r="H154" s="681"/>
      <c r="I154" s="681"/>
      <c r="J154" s="681"/>
      <c r="K154" s="681"/>
      <c r="L154" s="681"/>
      <c r="M154" s="682"/>
      <c r="N154" s="768">
        <f>N91</f>
        <v>1792.99</v>
      </c>
      <c r="O154" s="769"/>
      <c r="P154" s="770"/>
    </row>
    <row r="155" spans="1:17" ht="15.6">
      <c r="A155" s="7" t="s">
        <v>30</v>
      </c>
      <c r="B155" s="680" t="s">
        <v>562</v>
      </c>
      <c r="C155" s="681"/>
      <c r="D155" s="681"/>
      <c r="E155" s="681"/>
      <c r="F155" s="681"/>
      <c r="G155" s="681"/>
      <c r="H155" s="681"/>
      <c r="I155" s="681"/>
      <c r="J155" s="681"/>
      <c r="K155" s="681"/>
      <c r="L155" s="681"/>
      <c r="M155" s="682"/>
      <c r="N155" s="768">
        <f>N101</f>
        <v>55.37</v>
      </c>
      <c r="O155" s="769"/>
      <c r="P155" s="770"/>
    </row>
    <row r="156" spans="1:17" ht="15.6">
      <c r="A156" s="7" t="s">
        <v>32</v>
      </c>
      <c r="B156" s="680" t="s">
        <v>563</v>
      </c>
      <c r="C156" s="681"/>
      <c r="D156" s="681"/>
      <c r="E156" s="681"/>
      <c r="F156" s="681"/>
      <c r="G156" s="681"/>
      <c r="H156" s="681"/>
      <c r="I156" s="681"/>
      <c r="J156" s="681"/>
      <c r="K156" s="681"/>
      <c r="L156" s="681"/>
      <c r="M156" s="682"/>
      <c r="N156" s="768">
        <f>N129</f>
        <v>266.36</v>
      </c>
      <c r="O156" s="769"/>
      <c r="P156" s="770"/>
    </row>
    <row r="157" spans="1:17" ht="15.6">
      <c r="A157" s="7" t="s">
        <v>56</v>
      </c>
      <c r="B157" s="680" t="s">
        <v>564</v>
      </c>
      <c r="C157" s="681"/>
      <c r="D157" s="681"/>
      <c r="E157" s="681"/>
      <c r="F157" s="681"/>
      <c r="G157" s="681"/>
      <c r="H157" s="681"/>
      <c r="I157" s="681"/>
      <c r="J157" s="681"/>
      <c r="K157" s="681"/>
      <c r="L157" s="681"/>
      <c r="M157" s="682"/>
      <c r="N157" s="768">
        <f>N136</f>
        <v>153.97999999999999</v>
      </c>
      <c r="O157" s="769"/>
      <c r="P157" s="770"/>
    </row>
    <row r="158" spans="1:17" ht="15.6">
      <c r="A158" s="633" t="s">
        <v>565</v>
      </c>
      <c r="B158" s="634"/>
      <c r="C158" s="634"/>
      <c r="D158" s="634"/>
      <c r="E158" s="634"/>
      <c r="F158" s="634"/>
      <c r="G158" s="634"/>
      <c r="H158" s="634"/>
      <c r="I158" s="634"/>
      <c r="J158" s="634"/>
      <c r="K158" s="634"/>
      <c r="L158" s="634"/>
      <c r="M158" s="635"/>
      <c r="N158" s="765">
        <f>SUM(N153:P157)</f>
        <v>4015.37</v>
      </c>
      <c r="O158" s="766"/>
      <c r="P158" s="767"/>
    </row>
    <row r="159" spans="1:17" ht="15.6">
      <c r="A159" s="7" t="s">
        <v>58</v>
      </c>
      <c r="B159" s="680" t="s">
        <v>566</v>
      </c>
      <c r="C159" s="681"/>
      <c r="D159" s="681"/>
      <c r="E159" s="681"/>
      <c r="F159" s="681"/>
      <c r="G159" s="681"/>
      <c r="H159" s="681"/>
      <c r="I159" s="681"/>
      <c r="J159" s="681"/>
      <c r="K159" s="681"/>
      <c r="L159" s="681"/>
      <c r="M159" s="682"/>
      <c r="N159" s="768">
        <f>N147</f>
        <v>1300.0999999999999</v>
      </c>
      <c r="O159" s="769"/>
      <c r="P159" s="770"/>
    </row>
    <row r="160" spans="1:17" ht="15.6">
      <c r="A160" s="633" t="s">
        <v>567</v>
      </c>
      <c r="B160" s="634"/>
      <c r="C160" s="634"/>
      <c r="D160" s="634"/>
      <c r="E160" s="634"/>
      <c r="F160" s="634"/>
      <c r="G160" s="634"/>
      <c r="H160" s="634"/>
      <c r="I160" s="634"/>
      <c r="J160" s="634"/>
      <c r="K160" s="634"/>
      <c r="L160" s="634"/>
      <c r="M160" s="635"/>
      <c r="N160" s="765">
        <f>SUM(N158:P159)</f>
        <v>5315.47</v>
      </c>
      <c r="O160" s="766"/>
      <c r="P160" s="767"/>
    </row>
    <row r="161" spans="1:16" ht="15.6">
      <c r="A161" s="633" t="s">
        <v>568</v>
      </c>
      <c r="B161" s="634"/>
      <c r="C161" s="634"/>
      <c r="D161" s="634"/>
      <c r="E161" s="634"/>
      <c r="F161" s="634"/>
      <c r="G161" s="634"/>
      <c r="H161" s="634"/>
      <c r="I161" s="634"/>
      <c r="J161" s="634"/>
      <c r="K161" s="634"/>
      <c r="L161" s="634"/>
      <c r="M161" s="635"/>
      <c r="N161" s="665">
        <f>N160*N20</f>
        <v>15946.41</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2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7"/>
  </sheetPr>
  <dimension ref="A1:E95"/>
  <sheetViews>
    <sheetView view="pageBreakPreview" zoomScaleNormal="100" workbookViewId="0">
      <selection activeCell="J10" sqref="J10:J11"/>
    </sheetView>
  </sheetViews>
  <sheetFormatPr defaultColWidth="9.109375" defaultRowHeight="13.2"/>
  <cols>
    <col min="2" max="2" width="56.33203125" customWidth="1"/>
    <col min="3" max="3" width="17.109375" customWidth="1"/>
    <col min="4" max="4" width="15" customWidth="1"/>
    <col min="5" max="5" width="22.5546875" customWidth="1"/>
  </cols>
  <sheetData>
    <row r="1" spans="1:5" ht="15.9" customHeight="1">
      <c r="A1" s="550" t="s">
        <v>159</v>
      </c>
      <c r="B1" s="550"/>
      <c r="C1" s="550"/>
      <c r="D1" s="550"/>
      <c r="E1" s="550"/>
    </row>
    <row r="2" spans="1:5" ht="15.9" customHeight="1">
      <c r="A2" s="417"/>
      <c r="B2" s="342"/>
      <c r="C2" s="342"/>
      <c r="D2" s="342"/>
      <c r="E2" s="342"/>
    </row>
    <row r="3" spans="1:5" ht="15.9" customHeight="1">
      <c r="A3" s="551" t="s">
        <v>160</v>
      </c>
      <c r="B3" s="551"/>
      <c r="C3" s="551"/>
      <c r="D3" s="551"/>
      <c r="E3" s="551"/>
    </row>
    <row r="4" spans="1:5" ht="25.5" customHeight="1">
      <c r="A4" s="553"/>
      <c r="B4" s="555" t="s">
        <v>161</v>
      </c>
      <c r="C4" s="557" t="s">
        <v>162</v>
      </c>
      <c r="D4" s="557" t="s">
        <v>163</v>
      </c>
      <c r="E4" s="418" t="s">
        <v>164</v>
      </c>
    </row>
    <row r="5" spans="1:5" ht="18.75" customHeight="1">
      <c r="A5" s="554"/>
      <c r="B5" s="556"/>
      <c r="C5" s="558"/>
      <c r="D5" s="558"/>
      <c r="E5" s="419" t="s">
        <v>151</v>
      </c>
    </row>
    <row r="6" spans="1:5" ht="28.5" customHeight="1">
      <c r="A6" s="420" t="s">
        <v>165</v>
      </c>
      <c r="B6" s="420" t="s">
        <v>166</v>
      </c>
      <c r="C6" s="421"/>
      <c r="D6" s="422"/>
      <c r="E6" s="421">
        <f t="shared" ref="E6:E11" si="0">D6*C6</f>
        <v>0</v>
      </c>
    </row>
    <row r="7" spans="1:5" ht="37.799999999999997">
      <c r="A7" s="420" t="s">
        <v>167</v>
      </c>
      <c r="B7" s="420" t="s">
        <v>168</v>
      </c>
      <c r="C7" s="421"/>
      <c r="D7" s="422"/>
      <c r="E7" s="421">
        <f t="shared" si="0"/>
        <v>0</v>
      </c>
    </row>
    <row r="8" spans="1:5" ht="37.799999999999997">
      <c r="A8" s="420" t="s">
        <v>169</v>
      </c>
      <c r="B8" s="420" t="s">
        <v>170</v>
      </c>
      <c r="C8" s="421"/>
      <c r="D8" s="422"/>
      <c r="E8" s="421">
        <f t="shared" si="0"/>
        <v>0</v>
      </c>
    </row>
    <row r="9" spans="1:5" ht="37.799999999999997">
      <c r="A9" s="420" t="s">
        <v>171</v>
      </c>
      <c r="B9" s="420" t="s">
        <v>172</v>
      </c>
      <c r="C9" s="421"/>
      <c r="D9" s="422"/>
      <c r="E9" s="421">
        <f t="shared" si="0"/>
        <v>0</v>
      </c>
    </row>
    <row r="10" spans="1:5" ht="37.799999999999997">
      <c r="A10" s="420" t="s">
        <v>173</v>
      </c>
      <c r="B10" s="420" t="s">
        <v>174</v>
      </c>
      <c r="C10" s="421"/>
      <c r="D10" s="422"/>
      <c r="E10" s="421">
        <f t="shared" si="0"/>
        <v>0</v>
      </c>
    </row>
    <row r="11" spans="1:5" ht="15.9" customHeight="1">
      <c r="A11" s="420"/>
      <c r="B11" s="420" t="s">
        <v>175</v>
      </c>
      <c r="C11" s="421"/>
      <c r="D11" s="422"/>
      <c r="E11" s="421">
        <f t="shared" si="0"/>
        <v>0</v>
      </c>
    </row>
    <row r="12" spans="1:5" ht="15.9" customHeight="1">
      <c r="A12" s="561" t="s">
        <v>19</v>
      </c>
      <c r="B12" s="562"/>
      <c r="C12" s="562"/>
      <c r="D12" s="563"/>
      <c r="E12" s="559">
        <f>SUM(E6:E11)</f>
        <v>0</v>
      </c>
    </row>
    <row r="13" spans="1:5" ht="15.9" customHeight="1">
      <c r="A13" s="564"/>
      <c r="B13" s="565"/>
      <c r="C13" s="565"/>
      <c r="D13" s="566"/>
      <c r="E13" s="560"/>
    </row>
    <row r="14" spans="1:5" ht="15.9" customHeight="1">
      <c r="A14" s="552" t="s">
        <v>176</v>
      </c>
      <c r="B14" s="552"/>
      <c r="C14" s="552"/>
      <c r="D14" s="552"/>
      <c r="E14" s="552"/>
    </row>
    <row r="15" spans="1:5" ht="15.9" customHeight="1"/>
    <row r="16" spans="1:5" ht="15.9" customHeight="1"/>
    <row r="17" ht="15.9" customHeight="1"/>
    <row r="18" ht="15.9" customHeight="1"/>
    <row r="19" ht="15.9" customHeight="1"/>
    <row r="20" ht="15.9" customHeight="1"/>
    <row r="21" ht="15.9" customHeight="1"/>
    <row r="22" ht="15.9" customHeight="1"/>
    <row r="23" ht="15.9" customHeight="1"/>
    <row r="24" ht="15.9" customHeight="1"/>
    <row r="25" ht="15.9" customHeight="1"/>
    <row r="26" ht="15.9" customHeight="1"/>
    <row r="27" ht="15.9" customHeight="1"/>
    <row r="28" ht="15.9" customHeight="1"/>
    <row r="29" ht="15.9" customHeight="1"/>
    <row r="30" ht="15.9" customHeight="1"/>
    <row r="31" ht="15.9" customHeight="1"/>
    <row r="32" ht="15.9" customHeight="1"/>
    <row r="33" ht="15.9" customHeight="1"/>
    <row r="34" ht="15.9" customHeight="1"/>
    <row r="35" ht="15.9" customHeight="1"/>
    <row r="36" ht="15.9" customHeight="1"/>
    <row r="37" ht="15.9" customHeight="1"/>
    <row r="38" ht="15.9" customHeight="1"/>
    <row r="39" ht="15.9" customHeight="1"/>
    <row r="40" ht="15.9" customHeight="1"/>
    <row r="41" ht="15.9" customHeight="1"/>
    <row r="42" ht="15.9" customHeight="1"/>
    <row r="43" ht="15.9" customHeight="1"/>
    <row r="44" ht="15.9" customHeight="1"/>
    <row r="45" ht="15.9" customHeight="1"/>
    <row r="46" ht="15.9" customHeight="1"/>
    <row r="47" ht="15.9" customHeight="1"/>
    <row r="48" ht="15.9" customHeight="1"/>
    <row r="49" ht="15.9" customHeight="1"/>
    <row r="50" ht="15.9" customHeight="1"/>
    <row r="51" ht="15.9" customHeight="1"/>
    <row r="52" ht="15.9" customHeight="1"/>
    <row r="53" ht="15.9" customHeight="1"/>
    <row r="54" ht="15.9" customHeight="1"/>
    <row r="55" ht="15.9" customHeight="1"/>
    <row r="56" ht="15.9" customHeight="1"/>
    <row r="57" ht="15.9" customHeight="1"/>
    <row r="58" ht="15.9" customHeight="1"/>
    <row r="59" ht="15.9" customHeight="1"/>
    <row r="60" ht="15.9" customHeight="1"/>
    <row r="61" ht="15.9" customHeight="1"/>
    <row r="62" ht="15.9" customHeight="1"/>
    <row r="63" ht="15.9" customHeight="1"/>
    <row r="64" ht="15.9" customHeight="1"/>
    <row r="65" ht="15.9" customHeight="1"/>
    <row r="66" ht="15.9" customHeight="1"/>
    <row r="67" ht="15.9" customHeight="1"/>
    <row r="68" ht="15.9" customHeight="1"/>
    <row r="69" ht="15.9" customHeight="1"/>
    <row r="70" ht="15.9" customHeight="1"/>
    <row r="71" ht="15.9" customHeight="1"/>
    <row r="72" ht="15.9" customHeight="1"/>
    <row r="73" ht="15.9" customHeight="1"/>
    <row r="74" ht="15.9" customHeight="1"/>
    <row r="75" ht="15.9" customHeight="1"/>
    <row r="76" ht="15.9" customHeight="1"/>
    <row r="77" ht="15.9" customHeight="1"/>
    <row r="78" ht="15.9" customHeight="1"/>
    <row r="79" ht="15.9" customHeight="1"/>
    <row r="80" ht="15.9" customHeight="1"/>
    <row r="81" ht="15.9" customHeight="1"/>
    <row r="82" ht="15.9" customHeight="1"/>
    <row r="83" ht="15.9" customHeight="1"/>
    <row r="84" ht="15.9" customHeight="1"/>
    <row r="85" ht="15.9" customHeight="1"/>
    <row r="86" ht="15.9" customHeight="1"/>
    <row r="87" ht="15.9" customHeight="1"/>
    <row r="88" ht="15.9" customHeight="1"/>
    <row r="89" ht="15.9" customHeight="1"/>
    <row r="90" ht="15.9" customHeight="1"/>
    <row r="91" ht="15.9" customHeight="1"/>
    <row r="92" ht="15.9" customHeight="1"/>
    <row r="93" ht="15.9" customHeight="1"/>
    <row r="94" ht="15.9" customHeight="1"/>
    <row r="95" ht="15.9" customHeight="1"/>
  </sheetData>
  <mergeCells count="9">
    <mergeCell ref="A1:E1"/>
    <mergeCell ref="A3:E3"/>
    <mergeCell ref="A14:E14"/>
    <mergeCell ref="A4:A5"/>
    <mergeCell ref="B4:B5"/>
    <mergeCell ref="C4:C5"/>
    <mergeCell ref="D4:D5"/>
    <mergeCell ref="E12:E13"/>
    <mergeCell ref="A12:D13"/>
  </mergeCells>
  <printOptions horizontalCentered="1"/>
  <pageMargins left="0.39370078740157483" right="0.19685039370078741" top="1.6535433070866143" bottom="0.78740157480314965" header="0.51181102362204722" footer="0.51181102362204722"/>
  <pageSetup paperSize="9" scale="82"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115" zoomScale="85" zoomScaleNormal="85" workbookViewId="0">
      <selection activeCell="U158" sqref="U158"/>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CÁLCULO'!B45</f>
        <v>Alegre/Jerônimo Monteiro/ES</v>
      </c>
      <c r="O12" s="740"/>
      <c r="P12" s="741"/>
    </row>
    <row r="13" spans="1:16" ht="15.6">
      <c r="A13" s="7" t="s">
        <v>30</v>
      </c>
      <c r="B13" s="680" t="s">
        <v>455</v>
      </c>
      <c r="C13" s="681"/>
      <c r="D13" s="681"/>
      <c r="E13" s="681"/>
      <c r="F13" s="681"/>
      <c r="G13" s="681"/>
      <c r="H13" s="681"/>
      <c r="I13" s="681"/>
      <c r="J13" s="681"/>
      <c r="K13" s="681"/>
      <c r="L13" s="681"/>
      <c r="M13" s="682"/>
      <c r="N13" s="739" t="str">
        <f>'BASE DE CÁLCULO'!D45</f>
        <v>SECOTUH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815" t="s">
        <v>36</v>
      </c>
      <c r="F17" s="816"/>
      <c r="G17" s="816"/>
      <c r="H17" s="816"/>
      <c r="I17" s="816"/>
      <c r="J17" s="816"/>
      <c r="K17" s="816"/>
      <c r="L17" s="816"/>
      <c r="M17" s="817"/>
      <c r="N17" s="815" t="s">
        <v>458</v>
      </c>
      <c r="O17" s="816"/>
      <c r="P17" s="817"/>
    </row>
    <row r="18" spans="1:16">
      <c r="A18" s="668"/>
      <c r="B18" s="669"/>
      <c r="C18" s="669"/>
      <c r="D18" s="670"/>
      <c r="E18" s="818"/>
      <c r="F18" s="819"/>
      <c r="G18" s="819"/>
      <c r="H18" s="819"/>
      <c r="I18" s="819"/>
      <c r="J18" s="819"/>
      <c r="K18" s="819"/>
      <c r="L18" s="819"/>
      <c r="M18" s="820"/>
      <c r="N18" s="818"/>
      <c r="O18" s="819"/>
      <c r="P18" s="820"/>
    </row>
    <row r="19" spans="1:16">
      <c r="A19" s="630"/>
      <c r="B19" s="631"/>
      <c r="C19" s="631"/>
      <c r="D19" s="632"/>
      <c r="E19" s="821"/>
      <c r="F19" s="822"/>
      <c r="G19" s="822"/>
      <c r="H19" s="822"/>
      <c r="I19" s="822"/>
      <c r="J19" s="822"/>
      <c r="K19" s="822"/>
      <c r="L19" s="822"/>
      <c r="M19" s="823"/>
      <c r="N19" s="821"/>
      <c r="O19" s="822"/>
      <c r="P19" s="823"/>
    </row>
    <row r="20" spans="1:16" ht="15.6">
      <c r="A20" s="644" t="str">
        <f>'BASE DE CÁLCULO'!C45</f>
        <v>Supervisor de Cozinha</v>
      </c>
      <c r="B20" s="625"/>
      <c r="C20" s="625"/>
      <c r="D20" s="626"/>
      <c r="E20" s="751" t="s">
        <v>459</v>
      </c>
      <c r="F20" s="752"/>
      <c r="G20" s="752"/>
      <c r="H20" s="752"/>
      <c r="I20" s="752"/>
      <c r="J20" s="752"/>
      <c r="K20" s="752"/>
      <c r="L20" s="752"/>
      <c r="M20" s="753"/>
      <c r="N20" s="789">
        <f>'BASE DE CÁLCULO'!F45</f>
        <v>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Supervisor de Cozinha</v>
      </c>
      <c r="O30" s="740"/>
      <c r="P30" s="741"/>
    </row>
    <row r="31" spans="1:16" ht="15.6">
      <c r="A31" s="7">
        <v>2</v>
      </c>
      <c r="B31" s="680" t="s">
        <v>466</v>
      </c>
      <c r="C31" s="681"/>
      <c r="D31" s="681"/>
      <c r="E31" s="681"/>
      <c r="F31" s="681"/>
      <c r="G31" s="681"/>
      <c r="H31" s="681"/>
      <c r="I31" s="681"/>
      <c r="J31" s="681"/>
      <c r="K31" s="681"/>
      <c r="L31" s="681"/>
      <c r="M31" s="682"/>
      <c r="N31" s="781" t="s">
        <v>573</v>
      </c>
      <c r="O31" s="779"/>
      <c r="P31" s="780"/>
    </row>
    <row r="32" spans="1:16" ht="15.6">
      <c r="A32" s="7">
        <v>3</v>
      </c>
      <c r="B32" s="680" t="s">
        <v>468</v>
      </c>
      <c r="C32" s="681"/>
      <c r="D32" s="681"/>
      <c r="E32" s="681"/>
      <c r="F32" s="681"/>
      <c r="G32" s="681"/>
      <c r="H32" s="681"/>
      <c r="I32" s="681"/>
      <c r="J32" s="681"/>
      <c r="K32" s="681"/>
      <c r="L32" s="681"/>
      <c r="M32" s="682"/>
      <c r="N32" s="772">
        <f>'BASE DE CÁLCULO'!G45</f>
        <v>2961</v>
      </c>
      <c r="O32" s="773"/>
      <c r="P32" s="774"/>
    </row>
    <row r="33" spans="1:16" ht="15.6">
      <c r="A33" s="7">
        <v>4</v>
      </c>
      <c r="B33" s="680" t="s">
        <v>469</v>
      </c>
      <c r="C33" s="681"/>
      <c r="D33" s="681"/>
      <c r="E33" s="681"/>
      <c r="F33" s="681"/>
      <c r="G33" s="681"/>
      <c r="H33" s="681"/>
      <c r="I33" s="681"/>
      <c r="J33" s="681"/>
      <c r="K33" s="681"/>
      <c r="L33" s="681"/>
      <c r="M33" s="682"/>
      <c r="N33" s="782" t="str">
        <f>'BASE DE CÁLCULO'!E45</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CÁLCULO'!C14</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2961</v>
      </c>
      <c r="O39" s="773"/>
      <c r="P39" s="774"/>
    </row>
    <row r="40" spans="1:16" ht="15.6">
      <c r="A40" s="7" t="s">
        <v>27</v>
      </c>
      <c r="B40" s="680" t="s">
        <v>474</v>
      </c>
      <c r="C40" s="681"/>
      <c r="D40" s="681"/>
      <c r="E40" s="681"/>
      <c r="F40" s="681"/>
      <c r="G40" s="681"/>
      <c r="H40" s="681"/>
      <c r="I40" s="681"/>
      <c r="J40" s="681"/>
      <c r="K40" s="681"/>
      <c r="L40" s="681"/>
      <c r="M40" s="682"/>
      <c r="N40" s="772" t="str">
        <f>'BASE DE CÁLCULO'!I45</f>
        <v>-</v>
      </c>
      <c r="O40" s="773"/>
      <c r="P40" s="774"/>
    </row>
    <row r="41" spans="1:16" ht="15.6">
      <c r="A41" s="7" t="s">
        <v>30</v>
      </c>
      <c r="B41" s="680" t="s">
        <v>475</v>
      </c>
      <c r="C41" s="681"/>
      <c r="D41" s="681"/>
      <c r="E41" s="681"/>
      <c r="F41" s="681"/>
      <c r="G41" s="681"/>
      <c r="H41" s="681"/>
      <c r="I41" s="681"/>
      <c r="J41" s="681"/>
      <c r="K41" s="681"/>
      <c r="L41" s="681"/>
      <c r="M41" s="682"/>
      <c r="N41" s="772">
        <f>'BASE DE CÁLCULO'!J45</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3203.4</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365.19</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486.92</v>
      </c>
      <c r="O53" s="773"/>
      <c r="P53" s="774"/>
    </row>
    <row r="54" spans="1:16" ht="15.6">
      <c r="A54" s="633" t="s">
        <v>480</v>
      </c>
      <c r="B54" s="634"/>
      <c r="C54" s="634"/>
      <c r="D54" s="634"/>
      <c r="E54" s="634"/>
      <c r="F54" s="634"/>
      <c r="G54" s="634"/>
      <c r="H54" s="634"/>
      <c r="I54" s="634"/>
      <c r="J54" s="634"/>
      <c r="K54" s="634"/>
      <c r="L54" s="634"/>
      <c r="M54" s="635"/>
      <c r="N54" s="775">
        <f>SUM(N52:P53)</f>
        <v>852.11</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640.67999999999995</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80.09</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96.1</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48.05</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32.03</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19.22</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6.41</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256.27</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1178.8499999999999</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CÁLCULO'!K45</f>
        <v>37.17</v>
      </c>
      <c r="O75" s="773"/>
      <c r="P75" s="774"/>
    </row>
    <row r="76" spans="1:16" ht="16.5" customHeight="1">
      <c r="A76" s="7" t="s">
        <v>27</v>
      </c>
      <c r="B76" s="680" t="s">
        <v>331</v>
      </c>
      <c r="C76" s="681"/>
      <c r="D76" s="681"/>
      <c r="E76" s="681"/>
      <c r="F76" s="681"/>
      <c r="G76" s="681"/>
      <c r="H76" s="681"/>
      <c r="I76" s="681"/>
      <c r="J76" s="681"/>
      <c r="K76" s="681"/>
      <c r="L76" s="681"/>
      <c r="M76" s="682"/>
      <c r="N76" s="772">
        <f>'BASE DE CÁLCULO'!L45</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CÁLCULO'!N45</f>
        <v>233.37</v>
      </c>
      <c r="O77" s="773"/>
      <c r="P77" s="774"/>
    </row>
    <row r="78" spans="1:16" ht="15.6">
      <c r="A78" s="7" t="s">
        <v>32</v>
      </c>
      <c r="B78" s="680" t="s">
        <v>509</v>
      </c>
      <c r="C78" s="681"/>
      <c r="D78" s="681"/>
      <c r="E78" s="681"/>
      <c r="F78" s="681"/>
      <c r="G78" s="681"/>
      <c r="H78" s="681"/>
      <c r="I78" s="681"/>
      <c r="J78" s="681"/>
      <c r="K78" s="681"/>
      <c r="L78" s="681"/>
      <c r="M78" s="682"/>
      <c r="N78" s="772">
        <f>'BASE DE CÁLCULO'!M45</f>
        <v>0</v>
      </c>
      <c r="O78" s="773"/>
      <c r="P78" s="774"/>
    </row>
    <row r="79" spans="1:16" ht="15.6">
      <c r="A79" s="7" t="s">
        <v>56</v>
      </c>
      <c r="B79" s="680" t="s">
        <v>510</v>
      </c>
      <c r="C79" s="681"/>
      <c r="D79" s="681"/>
      <c r="E79" s="681"/>
      <c r="F79" s="681"/>
      <c r="G79" s="681"/>
      <c r="H79" s="681"/>
      <c r="I79" s="681"/>
      <c r="J79" s="681"/>
      <c r="K79" s="681"/>
      <c r="L79" s="681"/>
      <c r="M79" s="682"/>
      <c r="N79" s="772">
        <f>'BASE DE CÁLCULO'!Q45</f>
        <v>25.3</v>
      </c>
      <c r="O79" s="773"/>
      <c r="P79" s="774"/>
    </row>
    <row r="80" spans="1:16" ht="15.6">
      <c r="A80" s="7" t="s">
        <v>58</v>
      </c>
      <c r="B80" s="680" t="s">
        <v>511</v>
      </c>
      <c r="C80" s="681"/>
      <c r="D80" s="681"/>
      <c r="E80" s="681"/>
      <c r="F80" s="681"/>
      <c r="G80" s="681"/>
      <c r="H80" s="681"/>
      <c r="I80" s="681"/>
      <c r="J80" s="681"/>
      <c r="K80" s="681"/>
      <c r="L80" s="681"/>
      <c r="M80" s="682"/>
      <c r="N80" s="714">
        <f>'BASE DE CÁLCULO'!S45</f>
        <v>140.28</v>
      </c>
      <c r="O80" s="715"/>
      <c r="P80" s="716"/>
    </row>
    <row r="81" spans="1:16" ht="16.2" customHeight="1">
      <c r="A81" s="7" t="s">
        <v>60</v>
      </c>
      <c r="B81" s="680" t="s">
        <v>334</v>
      </c>
      <c r="C81" s="681"/>
      <c r="D81" s="681"/>
      <c r="E81" s="681"/>
      <c r="F81" s="681"/>
      <c r="G81" s="681"/>
      <c r="H81" s="681"/>
      <c r="I81" s="681"/>
      <c r="J81" s="681"/>
      <c r="K81" s="681"/>
      <c r="L81" s="681"/>
      <c r="M81" s="682"/>
      <c r="N81" s="772">
        <f>'BASE DE CÁLCULO'!R45</f>
        <v>6.43</v>
      </c>
      <c r="O81" s="773"/>
      <c r="P81" s="774"/>
    </row>
    <row r="82" spans="1:16" ht="15.6">
      <c r="A82" s="633" t="s">
        <v>480</v>
      </c>
      <c r="B82" s="634"/>
      <c r="C82" s="634"/>
      <c r="D82" s="634"/>
      <c r="E82" s="634"/>
      <c r="F82" s="634"/>
      <c r="G82" s="634"/>
      <c r="H82" s="634"/>
      <c r="I82" s="634"/>
      <c r="J82" s="634"/>
      <c r="K82" s="634"/>
      <c r="L82" s="634"/>
      <c r="M82" s="635"/>
      <c r="N82" s="775">
        <f>SUM(N75:P81)</f>
        <v>600.66</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852.11</v>
      </c>
      <c r="O88" s="769"/>
      <c r="P88" s="770"/>
    </row>
    <row r="89" spans="1:16" ht="15.6">
      <c r="A89" s="11" t="s">
        <v>491</v>
      </c>
      <c r="B89" s="699" t="s">
        <v>518</v>
      </c>
      <c r="C89" s="700"/>
      <c r="D89" s="700"/>
      <c r="E89" s="700"/>
      <c r="F89" s="700"/>
      <c r="G89" s="700"/>
      <c r="H89" s="700"/>
      <c r="I89" s="700"/>
      <c r="J89" s="700"/>
      <c r="K89" s="700"/>
      <c r="L89" s="700"/>
      <c r="M89" s="701"/>
      <c r="N89" s="769">
        <f>N68</f>
        <v>1178.8499999999999</v>
      </c>
      <c r="O89" s="769"/>
      <c r="P89" s="770"/>
    </row>
    <row r="90" spans="1:16" ht="15.6">
      <c r="A90" s="9" t="s">
        <v>506</v>
      </c>
      <c r="B90" s="699" t="s">
        <v>519</v>
      </c>
      <c r="C90" s="700"/>
      <c r="D90" s="700"/>
      <c r="E90" s="700"/>
      <c r="F90" s="700"/>
      <c r="G90" s="700"/>
      <c r="H90" s="700"/>
      <c r="I90" s="700"/>
      <c r="J90" s="700"/>
      <c r="K90" s="700"/>
      <c r="L90" s="700"/>
      <c r="M90" s="701"/>
      <c r="N90" s="769">
        <f>N82</f>
        <v>600.66</v>
      </c>
      <c r="O90" s="769"/>
      <c r="P90" s="770"/>
    </row>
    <row r="91" spans="1:16" ht="15.6">
      <c r="A91" s="633" t="s">
        <v>480</v>
      </c>
      <c r="B91" s="702"/>
      <c r="C91" s="702"/>
      <c r="D91" s="702"/>
      <c r="E91" s="702"/>
      <c r="F91" s="702"/>
      <c r="G91" s="702"/>
      <c r="H91" s="702"/>
      <c r="I91" s="702"/>
      <c r="J91" s="702"/>
      <c r="K91" s="702"/>
      <c r="L91" s="702"/>
      <c r="M91" s="703"/>
      <c r="N91" s="765">
        <f>SUM(N88:P90)</f>
        <v>2631.62</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13.45</v>
      </c>
      <c r="O95" s="769"/>
      <c r="P95" s="770"/>
    </row>
    <row r="96" spans="1:16" ht="15.6">
      <c r="A96" s="7" t="s">
        <v>27</v>
      </c>
      <c r="B96" s="680" t="s">
        <v>522</v>
      </c>
      <c r="C96" s="681"/>
      <c r="D96" s="681"/>
      <c r="E96" s="681"/>
      <c r="F96" s="681"/>
      <c r="G96" s="681"/>
      <c r="H96" s="681"/>
      <c r="I96" s="681"/>
      <c r="J96" s="681"/>
      <c r="K96" s="681"/>
      <c r="L96" s="681"/>
      <c r="M96" s="682"/>
      <c r="N96" s="768">
        <f>N46*'BASE DE CÁLCULO'!C89</f>
        <v>0.96</v>
      </c>
      <c r="O96" s="769"/>
      <c r="P96" s="770"/>
    </row>
    <row r="97" spans="1:16" ht="15.6">
      <c r="A97" s="7" t="s">
        <v>30</v>
      </c>
      <c r="B97" s="680" t="s">
        <v>523</v>
      </c>
      <c r="C97" s="681"/>
      <c r="D97" s="681"/>
      <c r="E97" s="681"/>
      <c r="F97" s="681"/>
      <c r="G97" s="681"/>
      <c r="H97" s="681"/>
      <c r="I97" s="681"/>
      <c r="J97" s="681"/>
      <c r="K97" s="681"/>
      <c r="L97" s="681"/>
      <c r="M97" s="682"/>
      <c r="N97" s="768">
        <f>N46*'BASE DE CÁLCULO'!C90</f>
        <v>0.32</v>
      </c>
      <c r="O97" s="769"/>
      <c r="P97" s="770"/>
    </row>
    <row r="98" spans="1:16" ht="15.6">
      <c r="A98" s="7" t="s">
        <v>32</v>
      </c>
      <c r="B98" s="680" t="s">
        <v>524</v>
      </c>
      <c r="C98" s="681"/>
      <c r="D98" s="681"/>
      <c r="E98" s="681"/>
      <c r="F98" s="681"/>
      <c r="G98" s="681"/>
      <c r="H98" s="681"/>
      <c r="I98" s="681"/>
      <c r="J98" s="681"/>
      <c r="K98" s="681"/>
      <c r="L98" s="681"/>
      <c r="M98" s="682"/>
      <c r="N98" s="768">
        <f>N46*'BASE DE CÁLCULO'!C91</f>
        <v>62.15</v>
      </c>
      <c r="O98" s="769"/>
      <c r="P98" s="770"/>
    </row>
    <row r="99" spans="1:16" ht="15.6">
      <c r="A99" s="7" t="s">
        <v>56</v>
      </c>
      <c r="B99" s="680" t="s">
        <v>525</v>
      </c>
      <c r="C99" s="681"/>
      <c r="D99" s="681"/>
      <c r="E99" s="681"/>
      <c r="F99" s="681"/>
      <c r="G99" s="681"/>
      <c r="H99" s="681"/>
      <c r="I99" s="681"/>
      <c r="J99" s="681"/>
      <c r="K99" s="681"/>
      <c r="L99" s="681"/>
      <c r="M99" s="682"/>
      <c r="N99" s="768">
        <f>N46*'BASE DE CÁLCULO'!C92</f>
        <v>22.74</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1.92</v>
      </c>
      <c r="O100" s="684"/>
      <c r="P100" s="685"/>
    </row>
    <row r="101" spans="1:16" ht="15.6">
      <c r="A101" s="633" t="s">
        <v>480</v>
      </c>
      <c r="B101" s="634"/>
      <c r="C101" s="634"/>
      <c r="D101" s="634"/>
      <c r="E101" s="634"/>
      <c r="F101" s="634"/>
      <c r="G101" s="634"/>
      <c r="H101" s="634"/>
      <c r="I101" s="634"/>
      <c r="J101" s="634"/>
      <c r="K101" s="634"/>
      <c r="L101" s="634"/>
      <c r="M101" s="635"/>
      <c r="N101" s="765">
        <f>SUM(N95:P100)</f>
        <v>101.54</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365.19</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36.520000000000003</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60.86</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0.96</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14.74</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7.69</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2.56</v>
      </c>
      <c r="O115" s="769"/>
      <c r="P115" s="770"/>
    </row>
    <row r="116" spans="1:16" ht="15.6">
      <c r="A116" s="633" t="s">
        <v>480</v>
      </c>
      <c r="B116" s="634"/>
      <c r="C116" s="634"/>
      <c r="D116" s="634"/>
      <c r="E116" s="634"/>
      <c r="F116" s="634"/>
      <c r="G116" s="634"/>
      <c r="H116" s="634"/>
      <c r="I116" s="634"/>
      <c r="J116" s="634"/>
      <c r="K116" s="634"/>
      <c r="L116" s="634"/>
      <c r="M116" s="635"/>
      <c r="N116" s="765">
        <f>SUM(N109:P115)</f>
        <v>488.52</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488.52</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488.52</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CÁLCULO'!O45</f>
        <v>139.91</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CÁLCULO'!P45</f>
        <v>1.37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141.28</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328.32</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689.47</v>
      </c>
      <c r="O142" s="684"/>
      <c r="P142" s="685"/>
    </row>
    <row r="143" spans="1:16" ht="16.5" customHeight="1">
      <c r="A143" s="7" t="s">
        <v>30</v>
      </c>
      <c r="B143" s="633" t="s">
        <v>552</v>
      </c>
      <c r="C143" s="634"/>
      <c r="D143" s="634"/>
      <c r="E143" s="634"/>
      <c r="F143" s="634"/>
      <c r="G143" s="634"/>
      <c r="H143" s="634"/>
      <c r="I143" s="634"/>
      <c r="J143" s="634"/>
      <c r="K143" s="635"/>
      <c r="L143" s="694">
        <f>SUM(L144:M146)</f>
        <v>0.1275</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804.05</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CÁLCULO'!C70</f>
        <v>3.5000000000000003E-2</v>
      </c>
      <c r="M146" s="626"/>
      <c r="N146" s="683">
        <f>(($N$158+$N$141+$N$142)/(100%-$L$143))*L146</f>
        <v>304.24</v>
      </c>
      <c r="O146" s="684"/>
      <c r="P146" s="685"/>
    </row>
    <row r="147" spans="1:17" ht="15.6">
      <c r="A147" s="633" t="s">
        <v>480</v>
      </c>
      <c r="B147" s="634"/>
      <c r="C147" s="634"/>
      <c r="D147" s="634"/>
      <c r="E147" s="634"/>
      <c r="F147" s="634"/>
      <c r="G147" s="634"/>
      <c r="H147" s="634"/>
      <c r="I147" s="634"/>
      <c r="J147" s="634"/>
      <c r="K147" s="635"/>
      <c r="L147" s="694">
        <f>SUM(L141:M143)</f>
        <v>0.27750000000000002</v>
      </c>
      <c r="M147" s="620"/>
      <c r="N147" s="765">
        <f>SUM(N141:P146)</f>
        <v>2126.08</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3203.4</v>
      </c>
      <c r="O153" s="769"/>
      <c r="P153" s="770"/>
    </row>
    <row r="154" spans="1:17" ht="15.6">
      <c r="A154" s="7" t="s">
        <v>27</v>
      </c>
      <c r="B154" s="680" t="s">
        <v>561</v>
      </c>
      <c r="C154" s="681"/>
      <c r="D154" s="681"/>
      <c r="E154" s="681"/>
      <c r="F154" s="681"/>
      <c r="G154" s="681"/>
      <c r="H154" s="681"/>
      <c r="I154" s="681"/>
      <c r="J154" s="681"/>
      <c r="K154" s="681"/>
      <c r="L154" s="681"/>
      <c r="M154" s="682"/>
      <c r="N154" s="768">
        <f>N91</f>
        <v>2631.62</v>
      </c>
      <c r="O154" s="769"/>
      <c r="P154" s="770"/>
    </row>
    <row r="155" spans="1:17" ht="15.6">
      <c r="A155" s="7" t="s">
        <v>30</v>
      </c>
      <c r="B155" s="680" t="s">
        <v>562</v>
      </c>
      <c r="C155" s="681"/>
      <c r="D155" s="681"/>
      <c r="E155" s="681"/>
      <c r="F155" s="681"/>
      <c r="G155" s="681"/>
      <c r="H155" s="681"/>
      <c r="I155" s="681"/>
      <c r="J155" s="681"/>
      <c r="K155" s="681"/>
      <c r="L155" s="681"/>
      <c r="M155" s="682"/>
      <c r="N155" s="768">
        <f>N101</f>
        <v>101.54</v>
      </c>
      <c r="O155" s="769"/>
      <c r="P155" s="770"/>
    </row>
    <row r="156" spans="1:17" ht="15.6">
      <c r="A156" s="7" t="s">
        <v>32</v>
      </c>
      <c r="B156" s="680" t="s">
        <v>563</v>
      </c>
      <c r="C156" s="681"/>
      <c r="D156" s="681"/>
      <c r="E156" s="681"/>
      <c r="F156" s="681"/>
      <c r="G156" s="681"/>
      <c r="H156" s="681"/>
      <c r="I156" s="681"/>
      <c r="J156" s="681"/>
      <c r="K156" s="681"/>
      <c r="L156" s="681"/>
      <c r="M156" s="682"/>
      <c r="N156" s="768">
        <f>N129</f>
        <v>488.52</v>
      </c>
      <c r="O156" s="769"/>
      <c r="P156" s="770"/>
    </row>
    <row r="157" spans="1:17" ht="15.6">
      <c r="A157" s="7" t="s">
        <v>56</v>
      </c>
      <c r="B157" s="680" t="s">
        <v>564</v>
      </c>
      <c r="C157" s="681"/>
      <c r="D157" s="681"/>
      <c r="E157" s="681"/>
      <c r="F157" s="681"/>
      <c r="G157" s="681"/>
      <c r="H157" s="681"/>
      <c r="I157" s="681"/>
      <c r="J157" s="681"/>
      <c r="K157" s="681"/>
      <c r="L157" s="681"/>
      <c r="M157" s="682"/>
      <c r="N157" s="768">
        <f>N136</f>
        <v>141.28</v>
      </c>
      <c r="O157" s="769"/>
      <c r="P157" s="770"/>
    </row>
    <row r="158" spans="1:17" ht="15.6">
      <c r="A158" s="633" t="s">
        <v>565</v>
      </c>
      <c r="B158" s="634"/>
      <c r="C158" s="634"/>
      <c r="D158" s="634"/>
      <c r="E158" s="634"/>
      <c r="F158" s="634"/>
      <c r="G158" s="634"/>
      <c r="H158" s="634"/>
      <c r="I158" s="634"/>
      <c r="J158" s="634"/>
      <c r="K158" s="634"/>
      <c r="L158" s="634"/>
      <c r="M158" s="635"/>
      <c r="N158" s="765">
        <f>SUM(N153:P157)</f>
        <v>6566.36</v>
      </c>
      <c r="O158" s="766"/>
      <c r="P158" s="767"/>
    </row>
    <row r="159" spans="1:17" ht="15.6">
      <c r="A159" s="7" t="s">
        <v>58</v>
      </c>
      <c r="B159" s="680" t="s">
        <v>566</v>
      </c>
      <c r="C159" s="681"/>
      <c r="D159" s="681"/>
      <c r="E159" s="681"/>
      <c r="F159" s="681"/>
      <c r="G159" s="681"/>
      <c r="H159" s="681"/>
      <c r="I159" s="681"/>
      <c r="J159" s="681"/>
      <c r="K159" s="681"/>
      <c r="L159" s="681"/>
      <c r="M159" s="682"/>
      <c r="N159" s="768">
        <f>N147</f>
        <v>2126.08</v>
      </c>
      <c r="O159" s="769"/>
      <c r="P159" s="770"/>
    </row>
    <row r="160" spans="1:17" ht="15.6">
      <c r="A160" s="633" t="s">
        <v>567</v>
      </c>
      <c r="B160" s="634"/>
      <c r="C160" s="634"/>
      <c r="D160" s="634"/>
      <c r="E160" s="634"/>
      <c r="F160" s="634"/>
      <c r="G160" s="634"/>
      <c r="H160" s="634"/>
      <c r="I160" s="634"/>
      <c r="J160" s="634"/>
      <c r="K160" s="634"/>
      <c r="L160" s="634"/>
      <c r="M160" s="635"/>
      <c r="N160" s="765">
        <f>SUM(N158:P159)</f>
        <v>8692.44</v>
      </c>
      <c r="O160" s="766"/>
      <c r="P160" s="767"/>
    </row>
    <row r="161" spans="1:16" ht="15.6">
      <c r="A161" s="633" t="s">
        <v>568</v>
      </c>
      <c r="B161" s="634"/>
      <c r="C161" s="634"/>
      <c r="D161" s="634"/>
      <c r="E161" s="634"/>
      <c r="F161" s="634"/>
      <c r="G161" s="634"/>
      <c r="H161" s="634"/>
      <c r="I161" s="634"/>
      <c r="J161" s="634"/>
      <c r="K161" s="634"/>
      <c r="L161" s="634"/>
      <c r="M161" s="635"/>
      <c r="N161" s="665">
        <f>N160*N20</f>
        <v>17384.88</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103" zoomScale="85" zoomScaleNormal="85" workbookViewId="0">
      <selection activeCell="X146" sqref="X146"/>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CÁLCULO'!B46</f>
        <v>Alegre/Jerônimo Monteiro/ES</v>
      </c>
      <c r="O12" s="740"/>
      <c r="P12" s="741"/>
    </row>
    <row r="13" spans="1:16" ht="15.6">
      <c r="A13" s="7" t="s">
        <v>30</v>
      </c>
      <c r="B13" s="680" t="s">
        <v>455</v>
      </c>
      <c r="C13" s="681"/>
      <c r="D13" s="681"/>
      <c r="E13" s="681"/>
      <c r="F13" s="681"/>
      <c r="G13" s="681"/>
      <c r="H13" s="681"/>
      <c r="I13" s="681"/>
      <c r="J13" s="681"/>
      <c r="K13" s="681"/>
      <c r="L13" s="681"/>
      <c r="M13" s="682"/>
      <c r="N13" s="739" t="str">
        <f>'BASE DE CÁLCULO'!D46</f>
        <v>SECOTUH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CÁLCULO'!C46</f>
        <v>Oficial de Manutenção</v>
      </c>
      <c r="B20" s="625"/>
      <c r="C20" s="625"/>
      <c r="D20" s="626"/>
      <c r="E20" s="751" t="s">
        <v>459</v>
      </c>
      <c r="F20" s="752"/>
      <c r="G20" s="752"/>
      <c r="H20" s="752"/>
      <c r="I20" s="752"/>
      <c r="J20" s="752"/>
      <c r="K20" s="752"/>
      <c r="L20" s="752"/>
      <c r="M20" s="753"/>
      <c r="N20" s="789">
        <f>'BASE DE CÁLCULO'!F46</f>
        <v>1</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Oficial de Manutenção</v>
      </c>
      <c r="O30" s="740"/>
      <c r="P30" s="741"/>
    </row>
    <row r="31" spans="1:16" ht="15.6">
      <c r="A31" s="7">
        <v>2</v>
      </c>
      <c r="B31" s="680" t="s">
        <v>466</v>
      </c>
      <c r="C31" s="681"/>
      <c r="D31" s="681"/>
      <c r="E31" s="681"/>
      <c r="F31" s="681"/>
      <c r="G31" s="681"/>
      <c r="H31" s="681"/>
      <c r="I31" s="681"/>
      <c r="J31" s="681"/>
      <c r="K31" s="681"/>
      <c r="L31" s="681"/>
      <c r="M31" s="682"/>
      <c r="N31" s="781" t="s">
        <v>576</v>
      </c>
      <c r="O31" s="779"/>
      <c r="P31" s="780"/>
    </row>
    <row r="32" spans="1:16" ht="15.6">
      <c r="A32" s="7">
        <v>3</v>
      </c>
      <c r="B32" s="680" t="s">
        <v>468</v>
      </c>
      <c r="C32" s="681"/>
      <c r="D32" s="681"/>
      <c r="E32" s="681"/>
      <c r="F32" s="681"/>
      <c r="G32" s="681"/>
      <c r="H32" s="681"/>
      <c r="I32" s="681"/>
      <c r="J32" s="681"/>
      <c r="K32" s="681"/>
      <c r="L32" s="681"/>
      <c r="M32" s="682"/>
      <c r="N32" s="772">
        <f>'BASE DE CÁLCULO'!G46</f>
        <v>1411.41</v>
      </c>
      <c r="O32" s="773"/>
      <c r="P32" s="774"/>
    </row>
    <row r="33" spans="1:16" ht="15.6">
      <c r="A33" s="7">
        <v>4</v>
      </c>
      <c r="B33" s="680" t="s">
        <v>469</v>
      </c>
      <c r="C33" s="681"/>
      <c r="D33" s="681"/>
      <c r="E33" s="681"/>
      <c r="F33" s="681"/>
      <c r="G33" s="681"/>
      <c r="H33" s="681"/>
      <c r="I33" s="681"/>
      <c r="J33" s="681"/>
      <c r="K33" s="681"/>
      <c r="L33" s="681"/>
      <c r="M33" s="682"/>
      <c r="N33" s="782" t="str">
        <f>'BASE DE CÁLCULO'!E46</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CÁLCULO'!C14</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1411.41</v>
      </c>
      <c r="O39" s="773"/>
      <c r="P39" s="774"/>
    </row>
    <row r="40" spans="1:16" ht="15.6">
      <c r="A40" s="7" t="s">
        <v>27</v>
      </c>
      <c r="B40" s="680" t="s">
        <v>474</v>
      </c>
      <c r="C40" s="681"/>
      <c r="D40" s="681"/>
      <c r="E40" s="681"/>
      <c r="F40" s="681"/>
      <c r="G40" s="681"/>
      <c r="H40" s="681"/>
      <c r="I40" s="681"/>
      <c r="J40" s="681"/>
      <c r="K40" s="681"/>
      <c r="L40" s="681"/>
      <c r="M40" s="682"/>
      <c r="N40" s="772">
        <f>'BASE DE CÁLCULO'!I46</f>
        <v>423.42</v>
      </c>
      <c r="O40" s="773"/>
      <c r="P40" s="774"/>
    </row>
    <row r="41" spans="1:16" ht="15.6">
      <c r="A41" s="7" t="s">
        <v>30</v>
      </c>
      <c r="B41" s="680" t="s">
        <v>475</v>
      </c>
      <c r="C41" s="681"/>
      <c r="D41" s="681"/>
      <c r="E41" s="681"/>
      <c r="F41" s="681"/>
      <c r="G41" s="681"/>
      <c r="H41" s="681"/>
      <c r="I41" s="681"/>
      <c r="J41" s="681"/>
      <c r="K41" s="681"/>
      <c r="L41" s="681"/>
      <c r="M41" s="682"/>
      <c r="N41" s="772" t="str">
        <f>'BASE DE CÁLCULO'!J46</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1834.83</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209.17</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278.89</v>
      </c>
      <c r="O53" s="773"/>
      <c r="P53" s="774"/>
    </row>
    <row r="54" spans="1:16" ht="15.6">
      <c r="A54" s="633" t="s">
        <v>480</v>
      </c>
      <c r="B54" s="634"/>
      <c r="C54" s="634"/>
      <c r="D54" s="634"/>
      <c r="E54" s="634"/>
      <c r="F54" s="634"/>
      <c r="G54" s="634"/>
      <c r="H54" s="634"/>
      <c r="I54" s="634"/>
      <c r="J54" s="634"/>
      <c r="K54" s="634"/>
      <c r="L54" s="634"/>
      <c r="M54" s="635"/>
      <c r="N54" s="775">
        <f>SUM(N52:P53)</f>
        <v>488.06</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366.97</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45.87</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55.04</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27.52</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18.350000000000001</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11.01</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3.67</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146.79</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675.22</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CÁLCULO'!K46</f>
        <v>83.66</v>
      </c>
      <c r="O75" s="773"/>
      <c r="P75" s="774"/>
    </row>
    <row r="76" spans="1:16" ht="16.5" customHeight="1">
      <c r="A76" s="7" t="s">
        <v>27</v>
      </c>
      <c r="B76" s="680" t="s">
        <v>331</v>
      </c>
      <c r="C76" s="681"/>
      <c r="D76" s="681"/>
      <c r="E76" s="681"/>
      <c r="F76" s="681"/>
      <c r="G76" s="681"/>
      <c r="H76" s="681"/>
      <c r="I76" s="681"/>
      <c r="J76" s="681"/>
      <c r="K76" s="681"/>
      <c r="L76" s="681"/>
      <c r="M76" s="682"/>
      <c r="N76" s="772">
        <f>'BASE DE CÁLCULO'!L46</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CÁLCULO'!N46</f>
        <v>233.37</v>
      </c>
      <c r="O77" s="773"/>
      <c r="P77" s="774"/>
    </row>
    <row r="78" spans="1:16" ht="15.6">
      <c r="A78" s="7" t="s">
        <v>32</v>
      </c>
      <c r="B78" s="680" t="s">
        <v>509</v>
      </c>
      <c r="C78" s="681"/>
      <c r="D78" s="681"/>
      <c r="E78" s="681"/>
      <c r="F78" s="681"/>
      <c r="G78" s="681"/>
      <c r="H78" s="681"/>
      <c r="I78" s="681"/>
      <c r="J78" s="681"/>
      <c r="K78" s="681"/>
      <c r="L78" s="681"/>
      <c r="M78" s="682"/>
      <c r="N78" s="772">
        <f>'BASE DE CÁLCULO'!M46</f>
        <v>0</v>
      </c>
      <c r="O78" s="773"/>
      <c r="P78" s="774"/>
    </row>
    <row r="79" spans="1:16" ht="15.6">
      <c r="A79" s="7" t="s">
        <v>56</v>
      </c>
      <c r="B79" s="680" t="s">
        <v>510</v>
      </c>
      <c r="C79" s="681"/>
      <c r="D79" s="681"/>
      <c r="E79" s="681"/>
      <c r="F79" s="681"/>
      <c r="G79" s="681"/>
      <c r="H79" s="681"/>
      <c r="I79" s="681"/>
      <c r="J79" s="681"/>
      <c r="K79" s="681"/>
      <c r="L79" s="681"/>
      <c r="M79" s="682"/>
      <c r="N79" s="772">
        <f>'BASE DE CÁLCULO'!Q46</f>
        <v>25.3</v>
      </c>
      <c r="O79" s="773"/>
      <c r="P79" s="774"/>
    </row>
    <row r="80" spans="1:16" ht="15.6">
      <c r="A80" s="7" t="s">
        <v>58</v>
      </c>
      <c r="B80" s="680" t="s">
        <v>511</v>
      </c>
      <c r="C80" s="681"/>
      <c r="D80" s="681"/>
      <c r="E80" s="681"/>
      <c r="F80" s="681"/>
      <c r="G80" s="681"/>
      <c r="H80" s="681"/>
      <c r="I80" s="681"/>
      <c r="J80" s="681"/>
      <c r="K80" s="681"/>
      <c r="L80" s="681"/>
      <c r="M80" s="682"/>
      <c r="N80" s="714">
        <f>'BASE DE CÁLCULO'!S46</f>
        <v>171.27</v>
      </c>
      <c r="O80" s="715"/>
      <c r="P80" s="716"/>
    </row>
    <row r="81" spans="1:16" ht="16.2" customHeight="1">
      <c r="A81" s="7" t="s">
        <v>60</v>
      </c>
      <c r="B81" s="680" t="s">
        <v>334</v>
      </c>
      <c r="C81" s="681"/>
      <c r="D81" s="681"/>
      <c r="E81" s="681"/>
      <c r="F81" s="681"/>
      <c r="G81" s="681"/>
      <c r="H81" s="681"/>
      <c r="I81" s="681"/>
      <c r="J81" s="681"/>
      <c r="K81" s="681"/>
      <c r="L81" s="681"/>
      <c r="M81" s="682"/>
      <c r="N81" s="772">
        <f>'BASE DE CÁLCULO'!R46</f>
        <v>6.43</v>
      </c>
      <c r="O81" s="773"/>
      <c r="P81" s="774"/>
    </row>
    <row r="82" spans="1:16" ht="15.6">
      <c r="A82" s="633" t="s">
        <v>480</v>
      </c>
      <c r="B82" s="634"/>
      <c r="C82" s="634"/>
      <c r="D82" s="634"/>
      <c r="E82" s="634"/>
      <c r="F82" s="634"/>
      <c r="G82" s="634"/>
      <c r="H82" s="634"/>
      <c r="I82" s="634"/>
      <c r="J82" s="634"/>
      <c r="K82" s="634"/>
      <c r="L82" s="634"/>
      <c r="M82" s="635"/>
      <c r="N82" s="775">
        <f>SUM(N75:P81)</f>
        <v>678.14</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488.06</v>
      </c>
      <c r="O88" s="769"/>
      <c r="P88" s="770"/>
    </row>
    <row r="89" spans="1:16" ht="15.6">
      <c r="A89" s="11" t="s">
        <v>491</v>
      </c>
      <c r="B89" s="699" t="s">
        <v>518</v>
      </c>
      <c r="C89" s="700"/>
      <c r="D89" s="700"/>
      <c r="E89" s="700"/>
      <c r="F89" s="700"/>
      <c r="G89" s="700"/>
      <c r="H89" s="700"/>
      <c r="I89" s="700"/>
      <c r="J89" s="700"/>
      <c r="K89" s="700"/>
      <c r="L89" s="700"/>
      <c r="M89" s="701"/>
      <c r="N89" s="769">
        <f>N68</f>
        <v>675.22</v>
      </c>
      <c r="O89" s="769"/>
      <c r="P89" s="770"/>
    </row>
    <row r="90" spans="1:16" ht="15.6">
      <c r="A90" s="9" t="s">
        <v>506</v>
      </c>
      <c r="B90" s="699" t="s">
        <v>519</v>
      </c>
      <c r="C90" s="700"/>
      <c r="D90" s="700"/>
      <c r="E90" s="700"/>
      <c r="F90" s="700"/>
      <c r="G90" s="700"/>
      <c r="H90" s="700"/>
      <c r="I90" s="700"/>
      <c r="J90" s="700"/>
      <c r="K90" s="700"/>
      <c r="L90" s="700"/>
      <c r="M90" s="701"/>
      <c r="N90" s="769">
        <f>N82</f>
        <v>678.14</v>
      </c>
      <c r="O90" s="769"/>
      <c r="P90" s="770"/>
    </row>
    <row r="91" spans="1:16" ht="15.6">
      <c r="A91" s="633" t="s">
        <v>480</v>
      </c>
      <c r="B91" s="702"/>
      <c r="C91" s="702"/>
      <c r="D91" s="702"/>
      <c r="E91" s="702"/>
      <c r="F91" s="702"/>
      <c r="G91" s="702"/>
      <c r="H91" s="702"/>
      <c r="I91" s="702"/>
      <c r="J91" s="702"/>
      <c r="K91" s="702"/>
      <c r="L91" s="702"/>
      <c r="M91" s="703"/>
      <c r="N91" s="765">
        <f>SUM(N88:P90)</f>
        <v>1841.42</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7.71</v>
      </c>
      <c r="O95" s="769"/>
      <c r="P95" s="770"/>
    </row>
    <row r="96" spans="1:16" ht="15.6">
      <c r="A96" s="7" t="s">
        <v>27</v>
      </c>
      <c r="B96" s="680" t="s">
        <v>522</v>
      </c>
      <c r="C96" s="681"/>
      <c r="D96" s="681"/>
      <c r="E96" s="681"/>
      <c r="F96" s="681"/>
      <c r="G96" s="681"/>
      <c r="H96" s="681"/>
      <c r="I96" s="681"/>
      <c r="J96" s="681"/>
      <c r="K96" s="681"/>
      <c r="L96" s="681"/>
      <c r="M96" s="682"/>
      <c r="N96" s="768">
        <f>N46*'BASE DE CÁLCULO'!C89</f>
        <v>0.55000000000000004</v>
      </c>
      <c r="O96" s="769"/>
      <c r="P96" s="770"/>
    </row>
    <row r="97" spans="1:16" ht="15.6">
      <c r="A97" s="7" t="s">
        <v>30</v>
      </c>
      <c r="B97" s="680" t="s">
        <v>523</v>
      </c>
      <c r="C97" s="681"/>
      <c r="D97" s="681"/>
      <c r="E97" s="681"/>
      <c r="F97" s="681"/>
      <c r="G97" s="681"/>
      <c r="H97" s="681"/>
      <c r="I97" s="681"/>
      <c r="J97" s="681"/>
      <c r="K97" s="681"/>
      <c r="L97" s="681"/>
      <c r="M97" s="682"/>
      <c r="N97" s="768">
        <f>N46*'BASE DE CÁLCULO'!C90</f>
        <v>0.18</v>
      </c>
      <c r="O97" s="769"/>
      <c r="P97" s="770"/>
    </row>
    <row r="98" spans="1:16" ht="15.6">
      <c r="A98" s="7" t="s">
        <v>32</v>
      </c>
      <c r="B98" s="680" t="s">
        <v>524</v>
      </c>
      <c r="C98" s="681"/>
      <c r="D98" s="681"/>
      <c r="E98" s="681"/>
      <c r="F98" s="681"/>
      <c r="G98" s="681"/>
      <c r="H98" s="681"/>
      <c r="I98" s="681"/>
      <c r="J98" s="681"/>
      <c r="K98" s="681"/>
      <c r="L98" s="681"/>
      <c r="M98" s="682"/>
      <c r="N98" s="768">
        <f>N46*'BASE DE CÁLCULO'!C91</f>
        <v>35.6</v>
      </c>
      <c r="O98" s="769"/>
      <c r="P98" s="770"/>
    </row>
    <row r="99" spans="1:16" ht="15.6">
      <c r="A99" s="7" t="s">
        <v>56</v>
      </c>
      <c r="B99" s="680" t="s">
        <v>525</v>
      </c>
      <c r="C99" s="681"/>
      <c r="D99" s="681"/>
      <c r="E99" s="681"/>
      <c r="F99" s="681"/>
      <c r="G99" s="681"/>
      <c r="H99" s="681"/>
      <c r="I99" s="681"/>
      <c r="J99" s="681"/>
      <c r="K99" s="681"/>
      <c r="L99" s="681"/>
      <c r="M99" s="682"/>
      <c r="N99" s="768">
        <f>N46*'BASE DE CÁLCULO'!C92</f>
        <v>13.03</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1.1000000000000001</v>
      </c>
      <c r="O100" s="684"/>
      <c r="P100" s="685"/>
    </row>
    <row r="101" spans="1:16" ht="15.6">
      <c r="A101" s="633" t="s">
        <v>480</v>
      </c>
      <c r="B101" s="634"/>
      <c r="C101" s="634"/>
      <c r="D101" s="634"/>
      <c r="E101" s="634"/>
      <c r="F101" s="634"/>
      <c r="G101" s="634"/>
      <c r="H101" s="634"/>
      <c r="I101" s="634"/>
      <c r="J101" s="634"/>
      <c r="K101" s="634"/>
      <c r="L101" s="634"/>
      <c r="M101" s="635"/>
      <c r="N101" s="765">
        <f>SUM(N95:P100)</f>
        <v>58.17</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209.17</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20.92</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34.86</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0.55000000000000004</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8.44</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4.4000000000000004</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1.47</v>
      </c>
      <c r="O115" s="769"/>
      <c r="P115" s="770"/>
    </row>
    <row r="116" spans="1:16" ht="15.6">
      <c r="A116" s="633" t="s">
        <v>480</v>
      </c>
      <c r="B116" s="634"/>
      <c r="C116" s="634"/>
      <c r="D116" s="634"/>
      <c r="E116" s="634"/>
      <c r="F116" s="634"/>
      <c r="G116" s="634"/>
      <c r="H116" s="634"/>
      <c r="I116" s="634"/>
      <c r="J116" s="634"/>
      <c r="K116" s="634"/>
      <c r="L116" s="634"/>
      <c r="M116" s="635"/>
      <c r="N116" s="765">
        <f>SUM(N109:P115)</f>
        <v>279.81</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279.81</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279.81</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CÁLCULO'!O46</f>
        <v>213.08</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CÁLCULO'!P46</f>
        <v>32.159999999999997</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245.24</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212.97</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447.24</v>
      </c>
      <c r="O142" s="684"/>
      <c r="P142" s="685"/>
    </row>
    <row r="143" spans="1:16" ht="16.5" customHeight="1">
      <c r="A143" s="7" t="s">
        <v>30</v>
      </c>
      <c r="B143" s="633" t="s">
        <v>552</v>
      </c>
      <c r="C143" s="634"/>
      <c r="D143" s="634"/>
      <c r="E143" s="634"/>
      <c r="F143" s="634"/>
      <c r="G143" s="634"/>
      <c r="H143" s="634"/>
      <c r="I143" s="634"/>
      <c r="J143" s="634"/>
      <c r="K143" s="635"/>
      <c r="L143" s="694">
        <f>SUM(L144:M146)</f>
        <v>0.1275</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521.57000000000005</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CÁLCULO'!C70</f>
        <v>3.5000000000000003E-2</v>
      </c>
      <c r="M146" s="626"/>
      <c r="N146" s="683">
        <f>(($N$158+$N$141+$N$142)/(100%-$L$143))*L146</f>
        <v>197.35</v>
      </c>
      <c r="O146" s="684"/>
      <c r="P146" s="685"/>
    </row>
    <row r="147" spans="1:17" ht="15.6">
      <c r="A147" s="633" t="s">
        <v>480</v>
      </c>
      <c r="B147" s="634"/>
      <c r="C147" s="634"/>
      <c r="D147" s="634"/>
      <c r="E147" s="634"/>
      <c r="F147" s="634"/>
      <c r="G147" s="634"/>
      <c r="H147" s="634"/>
      <c r="I147" s="634"/>
      <c r="J147" s="634"/>
      <c r="K147" s="635"/>
      <c r="L147" s="694">
        <f>SUM(L141:M143)</f>
        <v>0.27750000000000002</v>
      </c>
      <c r="M147" s="620"/>
      <c r="N147" s="765">
        <f>SUM(N141:P146)</f>
        <v>1379.13</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1834.83</v>
      </c>
      <c r="O153" s="769"/>
      <c r="P153" s="770"/>
    </row>
    <row r="154" spans="1:17" ht="15.6">
      <c r="A154" s="7" t="s">
        <v>27</v>
      </c>
      <c r="B154" s="680" t="s">
        <v>561</v>
      </c>
      <c r="C154" s="681"/>
      <c r="D154" s="681"/>
      <c r="E154" s="681"/>
      <c r="F154" s="681"/>
      <c r="G154" s="681"/>
      <c r="H154" s="681"/>
      <c r="I154" s="681"/>
      <c r="J154" s="681"/>
      <c r="K154" s="681"/>
      <c r="L154" s="681"/>
      <c r="M154" s="682"/>
      <c r="N154" s="768">
        <f>N91</f>
        <v>1841.42</v>
      </c>
      <c r="O154" s="769"/>
      <c r="P154" s="770"/>
    </row>
    <row r="155" spans="1:17" ht="15.6">
      <c r="A155" s="7" t="s">
        <v>30</v>
      </c>
      <c r="B155" s="680" t="s">
        <v>562</v>
      </c>
      <c r="C155" s="681"/>
      <c r="D155" s="681"/>
      <c r="E155" s="681"/>
      <c r="F155" s="681"/>
      <c r="G155" s="681"/>
      <c r="H155" s="681"/>
      <c r="I155" s="681"/>
      <c r="J155" s="681"/>
      <c r="K155" s="681"/>
      <c r="L155" s="681"/>
      <c r="M155" s="682"/>
      <c r="N155" s="768">
        <f>N101</f>
        <v>58.17</v>
      </c>
      <c r="O155" s="769"/>
      <c r="P155" s="770"/>
    </row>
    <row r="156" spans="1:17" ht="15.6">
      <c r="A156" s="7" t="s">
        <v>32</v>
      </c>
      <c r="B156" s="680" t="s">
        <v>563</v>
      </c>
      <c r="C156" s="681"/>
      <c r="D156" s="681"/>
      <c r="E156" s="681"/>
      <c r="F156" s="681"/>
      <c r="G156" s="681"/>
      <c r="H156" s="681"/>
      <c r="I156" s="681"/>
      <c r="J156" s="681"/>
      <c r="K156" s="681"/>
      <c r="L156" s="681"/>
      <c r="M156" s="682"/>
      <c r="N156" s="768">
        <f>N129</f>
        <v>279.81</v>
      </c>
      <c r="O156" s="769"/>
      <c r="P156" s="770"/>
    </row>
    <row r="157" spans="1:17" ht="15.6">
      <c r="A157" s="7" t="s">
        <v>56</v>
      </c>
      <c r="B157" s="680" t="s">
        <v>564</v>
      </c>
      <c r="C157" s="681"/>
      <c r="D157" s="681"/>
      <c r="E157" s="681"/>
      <c r="F157" s="681"/>
      <c r="G157" s="681"/>
      <c r="H157" s="681"/>
      <c r="I157" s="681"/>
      <c r="J157" s="681"/>
      <c r="K157" s="681"/>
      <c r="L157" s="681"/>
      <c r="M157" s="682"/>
      <c r="N157" s="768">
        <f>N136</f>
        <v>245.24</v>
      </c>
      <c r="O157" s="769"/>
      <c r="P157" s="770"/>
    </row>
    <row r="158" spans="1:17" ht="15.6">
      <c r="A158" s="633" t="s">
        <v>565</v>
      </c>
      <c r="B158" s="634"/>
      <c r="C158" s="634"/>
      <c r="D158" s="634"/>
      <c r="E158" s="634"/>
      <c r="F158" s="634"/>
      <c r="G158" s="634"/>
      <c r="H158" s="634"/>
      <c r="I158" s="634"/>
      <c r="J158" s="634"/>
      <c r="K158" s="634"/>
      <c r="L158" s="634"/>
      <c r="M158" s="635"/>
      <c r="N158" s="765">
        <f>SUM(N153:P157)</f>
        <v>4259.47</v>
      </c>
      <c r="O158" s="766"/>
      <c r="P158" s="767"/>
    </row>
    <row r="159" spans="1:17" ht="15.6">
      <c r="A159" s="7" t="s">
        <v>58</v>
      </c>
      <c r="B159" s="680" t="s">
        <v>566</v>
      </c>
      <c r="C159" s="681"/>
      <c r="D159" s="681"/>
      <c r="E159" s="681"/>
      <c r="F159" s="681"/>
      <c r="G159" s="681"/>
      <c r="H159" s="681"/>
      <c r="I159" s="681"/>
      <c r="J159" s="681"/>
      <c r="K159" s="681"/>
      <c r="L159" s="681"/>
      <c r="M159" s="682"/>
      <c r="N159" s="768">
        <f>N147</f>
        <v>1379.13</v>
      </c>
      <c r="O159" s="769"/>
      <c r="P159" s="770"/>
    </row>
    <row r="160" spans="1:17" ht="15.6">
      <c r="A160" s="633" t="s">
        <v>567</v>
      </c>
      <c r="B160" s="634"/>
      <c r="C160" s="634"/>
      <c r="D160" s="634"/>
      <c r="E160" s="634"/>
      <c r="F160" s="634"/>
      <c r="G160" s="634"/>
      <c r="H160" s="634"/>
      <c r="I160" s="634"/>
      <c r="J160" s="634"/>
      <c r="K160" s="634"/>
      <c r="L160" s="634"/>
      <c r="M160" s="635"/>
      <c r="N160" s="765">
        <f>SUM(N158:P159)</f>
        <v>5638.6</v>
      </c>
      <c r="O160" s="766"/>
      <c r="P160" s="767"/>
    </row>
    <row r="161" spans="1:16" ht="15.6">
      <c r="A161" s="633" t="s">
        <v>568</v>
      </c>
      <c r="B161" s="634"/>
      <c r="C161" s="634"/>
      <c r="D161" s="634"/>
      <c r="E161" s="634"/>
      <c r="F161" s="634"/>
      <c r="G161" s="634"/>
      <c r="H161" s="634"/>
      <c r="I161" s="634"/>
      <c r="J161" s="634"/>
      <c r="K161" s="634"/>
      <c r="L161" s="634"/>
      <c r="M161" s="635"/>
      <c r="N161" s="665">
        <f>N160*N20</f>
        <v>5638.6</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20" zoomScale="85" zoomScaleNormal="85" workbookViewId="0">
      <selection activeCell="N20" sqref="N20:P20"/>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CÁLCULO'!B48</f>
        <v>São Mateus/ES</v>
      </c>
      <c r="O12" s="740"/>
      <c r="P12" s="741"/>
    </row>
    <row r="13" spans="1:16" ht="15.6">
      <c r="A13" s="7" t="s">
        <v>30</v>
      </c>
      <c r="B13" s="680" t="s">
        <v>455</v>
      </c>
      <c r="C13" s="681"/>
      <c r="D13" s="681"/>
      <c r="E13" s="681"/>
      <c r="F13" s="681"/>
      <c r="G13" s="681"/>
      <c r="H13" s="681"/>
      <c r="I13" s="681"/>
      <c r="J13" s="681"/>
      <c r="K13" s="681"/>
      <c r="L13" s="681"/>
      <c r="M13" s="682"/>
      <c r="N13" s="739" t="str">
        <f>'BASE DE CÁLCULO'!D48</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CÁLCULO'!C48</f>
        <v>Armazenista</v>
      </c>
      <c r="B20" s="625"/>
      <c r="C20" s="625"/>
      <c r="D20" s="626"/>
      <c r="E20" s="751" t="s">
        <v>459</v>
      </c>
      <c r="F20" s="752"/>
      <c r="G20" s="752"/>
      <c r="H20" s="752"/>
      <c r="I20" s="752"/>
      <c r="J20" s="752"/>
      <c r="K20" s="752"/>
      <c r="L20" s="752"/>
      <c r="M20" s="753"/>
      <c r="N20" s="789">
        <f>'BASE DE CÁLCULO'!F48</f>
        <v>1</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Armazenista</v>
      </c>
      <c r="O30" s="740"/>
      <c r="P30" s="741"/>
    </row>
    <row r="31" spans="1:16" ht="15.6">
      <c r="A31" s="7">
        <v>2</v>
      </c>
      <c r="B31" s="680" t="s">
        <v>466</v>
      </c>
      <c r="C31" s="681"/>
      <c r="D31" s="681"/>
      <c r="E31" s="681"/>
      <c r="F31" s="681"/>
      <c r="G31" s="681"/>
      <c r="H31" s="681"/>
      <c r="I31" s="681"/>
      <c r="J31" s="681"/>
      <c r="K31" s="681"/>
      <c r="L31" s="681"/>
      <c r="M31" s="682"/>
      <c r="N31" s="781" t="s">
        <v>467</v>
      </c>
      <c r="O31" s="779"/>
      <c r="P31" s="780"/>
    </row>
    <row r="32" spans="1:16" ht="15.6">
      <c r="A32" s="7">
        <v>3</v>
      </c>
      <c r="B32" s="680" t="s">
        <v>468</v>
      </c>
      <c r="C32" s="681"/>
      <c r="D32" s="681"/>
      <c r="E32" s="681"/>
      <c r="F32" s="681"/>
      <c r="G32" s="681"/>
      <c r="H32" s="681"/>
      <c r="I32" s="681"/>
      <c r="J32" s="681"/>
      <c r="K32" s="681"/>
      <c r="L32" s="681"/>
      <c r="M32" s="682"/>
      <c r="N32" s="772">
        <f>'BASE DE CÁLCULO'!G48</f>
        <v>1583.08</v>
      </c>
      <c r="O32" s="773"/>
      <c r="P32" s="774"/>
    </row>
    <row r="33" spans="1:16" ht="15.6">
      <c r="A33" s="7">
        <v>4</v>
      </c>
      <c r="B33" s="680" t="s">
        <v>469</v>
      </c>
      <c r="C33" s="681"/>
      <c r="D33" s="681"/>
      <c r="E33" s="681"/>
      <c r="F33" s="681"/>
      <c r="G33" s="681"/>
      <c r="H33" s="681"/>
      <c r="I33" s="681"/>
      <c r="J33" s="681"/>
      <c r="K33" s="681"/>
      <c r="L33" s="681"/>
      <c r="M33" s="682"/>
      <c r="N33" s="782" t="str">
        <f>'BASE DE CÁLCULO'!E48</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1583.08</v>
      </c>
      <c r="O39" s="773"/>
      <c r="P39" s="774"/>
    </row>
    <row r="40" spans="1:16" ht="15.6">
      <c r="A40" s="7" t="s">
        <v>27</v>
      </c>
      <c r="B40" s="680" t="s">
        <v>474</v>
      </c>
      <c r="C40" s="681"/>
      <c r="D40" s="681"/>
      <c r="E40" s="681"/>
      <c r="F40" s="681"/>
      <c r="G40" s="681"/>
      <c r="H40" s="681"/>
      <c r="I40" s="681"/>
      <c r="J40" s="681"/>
      <c r="K40" s="681"/>
      <c r="L40" s="681"/>
      <c r="M40" s="682"/>
      <c r="N40" s="772" t="str">
        <f>'BASE DE CÁLCULO'!I48</f>
        <v>-</v>
      </c>
      <c r="O40" s="773"/>
      <c r="P40" s="774"/>
    </row>
    <row r="41" spans="1:16" ht="15.6">
      <c r="A41" s="7" t="s">
        <v>30</v>
      </c>
      <c r="B41" s="680" t="s">
        <v>475</v>
      </c>
      <c r="C41" s="681"/>
      <c r="D41" s="681"/>
      <c r="E41" s="681"/>
      <c r="F41" s="681"/>
      <c r="G41" s="681"/>
      <c r="H41" s="681"/>
      <c r="I41" s="681"/>
      <c r="J41" s="681"/>
      <c r="K41" s="681"/>
      <c r="L41" s="681"/>
      <c r="M41" s="682"/>
      <c r="N41" s="772">
        <f>'BASE DE CÁLCULO'!J48</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1825.48</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208.1</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277.47000000000003</v>
      </c>
      <c r="O53" s="773"/>
      <c r="P53" s="774"/>
    </row>
    <row r="54" spans="1:16" ht="15.6">
      <c r="A54" s="633" t="s">
        <v>480</v>
      </c>
      <c r="B54" s="634"/>
      <c r="C54" s="634"/>
      <c r="D54" s="634"/>
      <c r="E54" s="634"/>
      <c r="F54" s="634"/>
      <c r="G54" s="634"/>
      <c r="H54" s="634"/>
      <c r="I54" s="634"/>
      <c r="J54" s="634"/>
      <c r="K54" s="634"/>
      <c r="L54" s="634"/>
      <c r="M54" s="635"/>
      <c r="N54" s="775">
        <f>SUM(N52:P53)</f>
        <v>485.57</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365.1</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45.64</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54.76</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27.38</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18.25</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10.95</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3.65</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146.04</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671.77</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CÁLCULO'!K48</f>
        <v>101.61</v>
      </c>
      <c r="O75" s="773"/>
      <c r="P75" s="774"/>
    </row>
    <row r="76" spans="1:16" ht="16.5" customHeight="1">
      <c r="A76" s="7" t="s">
        <v>27</v>
      </c>
      <c r="B76" s="680" t="s">
        <v>331</v>
      </c>
      <c r="C76" s="681"/>
      <c r="D76" s="681"/>
      <c r="E76" s="681"/>
      <c r="F76" s="681"/>
      <c r="G76" s="681"/>
      <c r="H76" s="681"/>
      <c r="I76" s="681"/>
      <c r="J76" s="681"/>
      <c r="K76" s="681"/>
      <c r="L76" s="681"/>
      <c r="M76" s="682"/>
      <c r="N76" s="772">
        <f>'BASE DE CÁLCULO'!L48</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CÁLCULO'!N48</f>
        <v>230.26</v>
      </c>
      <c r="O77" s="773"/>
      <c r="P77" s="774"/>
    </row>
    <row r="78" spans="1:16" ht="15.6">
      <c r="A78" s="7" t="s">
        <v>32</v>
      </c>
      <c r="B78" s="680" t="s">
        <v>509</v>
      </c>
      <c r="C78" s="681"/>
      <c r="D78" s="681"/>
      <c r="E78" s="681"/>
      <c r="F78" s="681"/>
      <c r="G78" s="681"/>
      <c r="H78" s="681"/>
      <c r="I78" s="681"/>
      <c r="J78" s="681"/>
      <c r="K78" s="681"/>
      <c r="L78" s="681"/>
      <c r="M78" s="682"/>
      <c r="N78" s="772">
        <f>'BASE DE CÁLCULO'!M48</f>
        <v>0</v>
      </c>
      <c r="O78" s="773"/>
      <c r="P78" s="774"/>
    </row>
    <row r="79" spans="1:16" ht="15.6">
      <c r="A79" s="7" t="s">
        <v>56</v>
      </c>
      <c r="B79" s="680" t="s">
        <v>510</v>
      </c>
      <c r="C79" s="681"/>
      <c r="D79" s="681"/>
      <c r="E79" s="681"/>
      <c r="F79" s="681"/>
      <c r="G79" s="681"/>
      <c r="H79" s="681"/>
      <c r="I79" s="681"/>
      <c r="J79" s="681"/>
      <c r="K79" s="681"/>
      <c r="L79" s="681"/>
      <c r="M79" s="682"/>
      <c r="N79" s="772">
        <f>'BASE DE CÁLCULO'!Q48</f>
        <v>25.3</v>
      </c>
      <c r="O79" s="773"/>
      <c r="P79" s="774"/>
    </row>
    <row r="80" spans="1:16" ht="15.6">
      <c r="A80" s="7" t="s">
        <v>58</v>
      </c>
      <c r="B80" s="680" t="s">
        <v>511</v>
      </c>
      <c r="C80" s="681"/>
      <c r="D80" s="681"/>
      <c r="E80" s="681"/>
      <c r="F80" s="681"/>
      <c r="G80" s="681"/>
      <c r="H80" s="681"/>
      <c r="I80" s="681"/>
      <c r="J80" s="681"/>
      <c r="K80" s="681"/>
      <c r="L80" s="681"/>
      <c r="M80" s="682"/>
      <c r="N80" s="714">
        <f>'BASE DE CÁLCULO'!S48</f>
        <v>167.84</v>
      </c>
      <c r="O80" s="715"/>
      <c r="P80" s="716"/>
    </row>
    <row r="81" spans="1:16" ht="16.2" customHeight="1">
      <c r="A81" s="7" t="s">
        <v>60</v>
      </c>
      <c r="B81" s="680" t="s">
        <v>334</v>
      </c>
      <c r="C81" s="681"/>
      <c r="D81" s="681"/>
      <c r="E81" s="681"/>
      <c r="F81" s="681"/>
      <c r="G81" s="681"/>
      <c r="H81" s="681"/>
      <c r="I81" s="681"/>
      <c r="J81" s="681"/>
      <c r="K81" s="681"/>
      <c r="L81" s="681"/>
      <c r="M81" s="682"/>
      <c r="N81" s="772">
        <f>'BASE DE CÁLCULO'!R48</f>
        <v>6.43</v>
      </c>
      <c r="O81" s="773"/>
      <c r="P81" s="774"/>
    </row>
    <row r="82" spans="1:16" ht="15.6">
      <c r="A82" s="633" t="s">
        <v>480</v>
      </c>
      <c r="B82" s="634"/>
      <c r="C82" s="634"/>
      <c r="D82" s="634"/>
      <c r="E82" s="634"/>
      <c r="F82" s="634"/>
      <c r="G82" s="634"/>
      <c r="H82" s="634"/>
      <c r="I82" s="634"/>
      <c r="J82" s="634"/>
      <c r="K82" s="634"/>
      <c r="L82" s="634"/>
      <c r="M82" s="635"/>
      <c r="N82" s="775">
        <f>SUM(N75:P81)</f>
        <v>689.55</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485.57</v>
      </c>
      <c r="O88" s="769"/>
      <c r="P88" s="770"/>
    </row>
    <row r="89" spans="1:16" ht="15.6">
      <c r="A89" s="11" t="s">
        <v>491</v>
      </c>
      <c r="B89" s="699" t="s">
        <v>518</v>
      </c>
      <c r="C89" s="700"/>
      <c r="D89" s="700"/>
      <c r="E89" s="700"/>
      <c r="F89" s="700"/>
      <c r="G89" s="700"/>
      <c r="H89" s="700"/>
      <c r="I89" s="700"/>
      <c r="J89" s="700"/>
      <c r="K89" s="700"/>
      <c r="L89" s="700"/>
      <c r="M89" s="701"/>
      <c r="N89" s="769">
        <f>N68</f>
        <v>671.77</v>
      </c>
      <c r="O89" s="769"/>
      <c r="P89" s="770"/>
    </row>
    <row r="90" spans="1:16" ht="15.6">
      <c r="A90" s="9" t="s">
        <v>506</v>
      </c>
      <c r="B90" s="699" t="s">
        <v>519</v>
      </c>
      <c r="C90" s="700"/>
      <c r="D90" s="700"/>
      <c r="E90" s="700"/>
      <c r="F90" s="700"/>
      <c r="G90" s="700"/>
      <c r="H90" s="700"/>
      <c r="I90" s="700"/>
      <c r="J90" s="700"/>
      <c r="K90" s="700"/>
      <c r="L90" s="700"/>
      <c r="M90" s="701"/>
      <c r="N90" s="769">
        <f>N82</f>
        <v>689.55</v>
      </c>
      <c r="O90" s="769"/>
      <c r="P90" s="770"/>
    </row>
    <row r="91" spans="1:16" ht="15.6">
      <c r="A91" s="633" t="s">
        <v>480</v>
      </c>
      <c r="B91" s="702"/>
      <c r="C91" s="702"/>
      <c r="D91" s="702"/>
      <c r="E91" s="702"/>
      <c r="F91" s="702"/>
      <c r="G91" s="702"/>
      <c r="H91" s="702"/>
      <c r="I91" s="702"/>
      <c r="J91" s="702"/>
      <c r="K91" s="702"/>
      <c r="L91" s="702"/>
      <c r="M91" s="703"/>
      <c r="N91" s="765">
        <f>SUM(N88:P90)</f>
        <v>1846.89</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7.67</v>
      </c>
      <c r="O95" s="769"/>
      <c r="P95" s="770"/>
    </row>
    <row r="96" spans="1:16" ht="15.6">
      <c r="A96" s="7" t="s">
        <v>27</v>
      </c>
      <c r="B96" s="680" t="s">
        <v>522</v>
      </c>
      <c r="C96" s="681"/>
      <c r="D96" s="681"/>
      <c r="E96" s="681"/>
      <c r="F96" s="681"/>
      <c r="G96" s="681"/>
      <c r="H96" s="681"/>
      <c r="I96" s="681"/>
      <c r="J96" s="681"/>
      <c r="K96" s="681"/>
      <c r="L96" s="681"/>
      <c r="M96" s="682"/>
      <c r="N96" s="768">
        <f>N46*'BASE DE CÁLCULO'!C89</f>
        <v>0.55000000000000004</v>
      </c>
      <c r="O96" s="769"/>
      <c r="P96" s="770"/>
    </row>
    <row r="97" spans="1:16" ht="15.6">
      <c r="A97" s="7" t="s">
        <v>30</v>
      </c>
      <c r="B97" s="680" t="s">
        <v>523</v>
      </c>
      <c r="C97" s="681"/>
      <c r="D97" s="681"/>
      <c r="E97" s="681"/>
      <c r="F97" s="681"/>
      <c r="G97" s="681"/>
      <c r="H97" s="681"/>
      <c r="I97" s="681"/>
      <c r="J97" s="681"/>
      <c r="K97" s="681"/>
      <c r="L97" s="681"/>
      <c r="M97" s="682"/>
      <c r="N97" s="768">
        <f>N46*'BASE DE CÁLCULO'!C90</f>
        <v>0.18</v>
      </c>
      <c r="O97" s="769"/>
      <c r="P97" s="770"/>
    </row>
    <row r="98" spans="1:16" ht="15.6">
      <c r="A98" s="7" t="s">
        <v>32</v>
      </c>
      <c r="B98" s="680" t="s">
        <v>524</v>
      </c>
      <c r="C98" s="681"/>
      <c r="D98" s="681"/>
      <c r="E98" s="681"/>
      <c r="F98" s="681"/>
      <c r="G98" s="681"/>
      <c r="H98" s="681"/>
      <c r="I98" s="681"/>
      <c r="J98" s="681"/>
      <c r="K98" s="681"/>
      <c r="L98" s="681"/>
      <c r="M98" s="682"/>
      <c r="N98" s="768">
        <f>N46*'BASE DE CÁLCULO'!C91</f>
        <v>35.409999999999997</v>
      </c>
      <c r="O98" s="769"/>
      <c r="P98" s="770"/>
    </row>
    <row r="99" spans="1:16" ht="15.6">
      <c r="A99" s="7" t="s">
        <v>56</v>
      </c>
      <c r="B99" s="680" t="s">
        <v>525</v>
      </c>
      <c r="C99" s="681"/>
      <c r="D99" s="681"/>
      <c r="E99" s="681"/>
      <c r="F99" s="681"/>
      <c r="G99" s="681"/>
      <c r="H99" s="681"/>
      <c r="I99" s="681"/>
      <c r="J99" s="681"/>
      <c r="K99" s="681"/>
      <c r="L99" s="681"/>
      <c r="M99" s="682"/>
      <c r="N99" s="768">
        <f>N46*'BASE DE CÁLCULO'!C92</f>
        <v>12.96</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1.1000000000000001</v>
      </c>
      <c r="O100" s="684"/>
      <c r="P100" s="685"/>
    </row>
    <row r="101" spans="1:16" ht="15.6">
      <c r="A101" s="633" t="s">
        <v>480</v>
      </c>
      <c r="B101" s="634"/>
      <c r="C101" s="634"/>
      <c r="D101" s="634"/>
      <c r="E101" s="634"/>
      <c r="F101" s="634"/>
      <c r="G101" s="634"/>
      <c r="H101" s="634"/>
      <c r="I101" s="634"/>
      <c r="J101" s="634"/>
      <c r="K101" s="634"/>
      <c r="L101" s="634"/>
      <c r="M101" s="635"/>
      <c r="N101" s="765">
        <f>SUM(N95:P100)</f>
        <v>57.87</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208.1</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20.81</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34.68</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0.55000000000000004</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8.4</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4.38</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1.46</v>
      </c>
      <c r="O115" s="769"/>
      <c r="P115" s="770"/>
    </row>
    <row r="116" spans="1:16" ht="15.6">
      <c r="A116" s="633" t="s">
        <v>480</v>
      </c>
      <c r="B116" s="634"/>
      <c r="C116" s="634"/>
      <c r="D116" s="634"/>
      <c r="E116" s="634"/>
      <c r="F116" s="634"/>
      <c r="G116" s="634"/>
      <c r="H116" s="634"/>
      <c r="I116" s="634"/>
      <c r="J116" s="634"/>
      <c r="K116" s="634"/>
      <c r="L116" s="634"/>
      <c r="M116" s="635"/>
      <c r="N116" s="765">
        <f>SUM(N109:P115)</f>
        <v>278.38</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278.38</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278.38</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CÁLCULO'!O48</f>
        <v>217.55</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CÁLCULO'!P48</f>
        <v>1.91</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219.46</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211.4</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443.95</v>
      </c>
      <c r="O142" s="684"/>
      <c r="P142" s="685"/>
    </row>
    <row r="143" spans="1:16" ht="16.5" customHeight="1">
      <c r="A143" s="7" t="s">
        <v>30</v>
      </c>
      <c r="B143" s="633" t="s">
        <v>552</v>
      </c>
      <c r="C143" s="634"/>
      <c r="D143" s="634"/>
      <c r="E143" s="634"/>
      <c r="F143" s="634"/>
      <c r="G143" s="634"/>
      <c r="H143" s="634"/>
      <c r="I143" s="634"/>
      <c r="J143" s="634"/>
      <c r="K143" s="635"/>
      <c r="L143" s="694">
        <f>SUM(L144:M146)</f>
        <v>0.13250000000000001</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520.71</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CÁLCULO'!C71</f>
        <v>0.04</v>
      </c>
      <c r="M146" s="626"/>
      <c r="N146" s="683">
        <f>(($N$158+$N$141+$N$142)/(100%-$L$143))*L146</f>
        <v>225.17</v>
      </c>
      <c r="O146" s="684"/>
      <c r="P146" s="685"/>
    </row>
    <row r="147" spans="1:17" ht="15.6">
      <c r="A147" s="633" t="s">
        <v>480</v>
      </c>
      <c r="B147" s="634"/>
      <c r="C147" s="634"/>
      <c r="D147" s="634"/>
      <c r="E147" s="634"/>
      <c r="F147" s="634"/>
      <c r="G147" s="634"/>
      <c r="H147" s="634"/>
      <c r="I147" s="634"/>
      <c r="J147" s="634"/>
      <c r="K147" s="635"/>
      <c r="L147" s="694">
        <f>SUM(L141:M143)</f>
        <v>0.28249999999999997</v>
      </c>
      <c r="M147" s="620"/>
      <c r="N147" s="765">
        <f>SUM(N141:P146)</f>
        <v>1401.23</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1825.48</v>
      </c>
      <c r="O153" s="769"/>
      <c r="P153" s="770"/>
    </row>
    <row r="154" spans="1:17" ht="15.6">
      <c r="A154" s="7" t="s">
        <v>27</v>
      </c>
      <c r="B154" s="680" t="s">
        <v>561</v>
      </c>
      <c r="C154" s="681"/>
      <c r="D154" s="681"/>
      <c r="E154" s="681"/>
      <c r="F154" s="681"/>
      <c r="G154" s="681"/>
      <c r="H154" s="681"/>
      <c r="I154" s="681"/>
      <c r="J154" s="681"/>
      <c r="K154" s="681"/>
      <c r="L154" s="681"/>
      <c r="M154" s="682"/>
      <c r="N154" s="768">
        <f>N91</f>
        <v>1846.89</v>
      </c>
      <c r="O154" s="769"/>
      <c r="P154" s="770"/>
    </row>
    <row r="155" spans="1:17" ht="15.6">
      <c r="A155" s="7" t="s">
        <v>30</v>
      </c>
      <c r="B155" s="680" t="s">
        <v>562</v>
      </c>
      <c r="C155" s="681"/>
      <c r="D155" s="681"/>
      <c r="E155" s="681"/>
      <c r="F155" s="681"/>
      <c r="G155" s="681"/>
      <c r="H155" s="681"/>
      <c r="I155" s="681"/>
      <c r="J155" s="681"/>
      <c r="K155" s="681"/>
      <c r="L155" s="681"/>
      <c r="M155" s="682"/>
      <c r="N155" s="768">
        <f>N101</f>
        <v>57.87</v>
      </c>
      <c r="O155" s="769"/>
      <c r="P155" s="770"/>
    </row>
    <row r="156" spans="1:17" ht="15.6">
      <c r="A156" s="7" t="s">
        <v>32</v>
      </c>
      <c r="B156" s="680" t="s">
        <v>563</v>
      </c>
      <c r="C156" s="681"/>
      <c r="D156" s="681"/>
      <c r="E156" s="681"/>
      <c r="F156" s="681"/>
      <c r="G156" s="681"/>
      <c r="H156" s="681"/>
      <c r="I156" s="681"/>
      <c r="J156" s="681"/>
      <c r="K156" s="681"/>
      <c r="L156" s="681"/>
      <c r="M156" s="682"/>
      <c r="N156" s="768">
        <f>N129</f>
        <v>278.38</v>
      </c>
      <c r="O156" s="769"/>
      <c r="P156" s="770"/>
    </row>
    <row r="157" spans="1:17" ht="15.6">
      <c r="A157" s="7" t="s">
        <v>56</v>
      </c>
      <c r="B157" s="680" t="s">
        <v>564</v>
      </c>
      <c r="C157" s="681"/>
      <c r="D157" s="681"/>
      <c r="E157" s="681"/>
      <c r="F157" s="681"/>
      <c r="G157" s="681"/>
      <c r="H157" s="681"/>
      <c r="I157" s="681"/>
      <c r="J157" s="681"/>
      <c r="K157" s="681"/>
      <c r="L157" s="681"/>
      <c r="M157" s="682"/>
      <c r="N157" s="768">
        <f>N136</f>
        <v>219.46</v>
      </c>
      <c r="O157" s="769"/>
      <c r="P157" s="770"/>
    </row>
    <row r="158" spans="1:17" ht="15.6">
      <c r="A158" s="633" t="s">
        <v>565</v>
      </c>
      <c r="B158" s="634"/>
      <c r="C158" s="634"/>
      <c r="D158" s="634"/>
      <c r="E158" s="634"/>
      <c r="F158" s="634"/>
      <c r="G158" s="634"/>
      <c r="H158" s="634"/>
      <c r="I158" s="634"/>
      <c r="J158" s="634"/>
      <c r="K158" s="634"/>
      <c r="L158" s="634"/>
      <c r="M158" s="635"/>
      <c r="N158" s="765">
        <f>SUM(N153:P157)</f>
        <v>4228.08</v>
      </c>
      <c r="O158" s="766"/>
      <c r="P158" s="767"/>
    </row>
    <row r="159" spans="1:17" ht="15.6">
      <c r="A159" s="7" t="s">
        <v>58</v>
      </c>
      <c r="B159" s="680" t="s">
        <v>566</v>
      </c>
      <c r="C159" s="681"/>
      <c r="D159" s="681"/>
      <c r="E159" s="681"/>
      <c r="F159" s="681"/>
      <c r="G159" s="681"/>
      <c r="H159" s="681"/>
      <c r="I159" s="681"/>
      <c r="J159" s="681"/>
      <c r="K159" s="681"/>
      <c r="L159" s="681"/>
      <c r="M159" s="682"/>
      <c r="N159" s="768">
        <f>N147</f>
        <v>1401.23</v>
      </c>
      <c r="O159" s="769"/>
      <c r="P159" s="770"/>
    </row>
    <row r="160" spans="1:17" ht="15.6">
      <c r="A160" s="633" t="s">
        <v>567</v>
      </c>
      <c r="B160" s="634"/>
      <c r="C160" s="634"/>
      <c r="D160" s="634"/>
      <c r="E160" s="634"/>
      <c r="F160" s="634"/>
      <c r="G160" s="634"/>
      <c r="H160" s="634"/>
      <c r="I160" s="634"/>
      <c r="J160" s="634"/>
      <c r="K160" s="634"/>
      <c r="L160" s="634"/>
      <c r="M160" s="635"/>
      <c r="N160" s="765">
        <f>SUM(N158:P159)</f>
        <v>5629.31</v>
      </c>
      <c r="O160" s="766"/>
      <c r="P160" s="767"/>
    </row>
    <row r="161" spans="1:16" ht="15.6">
      <c r="A161" s="633" t="s">
        <v>568</v>
      </c>
      <c r="B161" s="634"/>
      <c r="C161" s="634"/>
      <c r="D161" s="634"/>
      <c r="E161" s="634"/>
      <c r="F161" s="634"/>
      <c r="G161" s="634"/>
      <c r="H161" s="634"/>
      <c r="I161" s="634"/>
      <c r="J161" s="634"/>
      <c r="K161" s="634"/>
      <c r="L161" s="634"/>
      <c r="M161" s="635"/>
      <c r="N161" s="665">
        <f>N160*N20</f>
        <v>5629.31</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112" zoomScale="85" zoomScaleNormal="85" workbookViewId="0">
      <selection activeCell="T155" sqref="T155"/>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CÁLCULO'!B49</f>
        <v>São Mateus/ES</v>
      </c>
      <c r="O12" s="740"/>
      <c r="P12" s="741"/>
    </row>
    <row r="13" spans="1:16" ht="15.6">
      <c r="A13" s="7" t="s">
        <v>30</v>
      </c>
      <c r="B13" s="680" t="s">
        <v>455</v>
      </c>
      <c r="C13" s="681"/>
      <c r="D13" s="681"/>
      <c r="E13" s="681"/>
      <c r="F13" s="681"/>
      <c r="G13" s="681"/>
      <c r="H13" s="681"/>
      <c r="I13" s="681"/>
      <c r="J13" s="681"/>
      <c r="K13" s="681"/>
      <c r="L13" s="681"/>
      <c r="M13" s="682"/>
      <c r="N13" s="739" t="str">
        <f>'BASE DE CÁLCULO'!D49</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CÁLCULO'!C49</f>
        <v>Atendente de Refeitório</v>
      </c>
      <c r="B20" s="625"/>
      <c r="C20" s="625"/>
      <c r="D20" s="626"/>
      <c r="E20" s="751" t="s">
        <v>459</v>
      </c>
      <c r="F20" s="752"/>
      <c r="G20" s="752"/>
      <c r="H20" s="752"/>
      <c r="I20" s="752"/>
      <c r="J20" s="752"/>
      <c r="K20" s="752"/>
      <c r="L20" s="752"/>
      <c r="M20" s="753"/>
      <c r="N20" s="789">
        <f>'BASE DE CÁLCULO'!F49</f>
        <v>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Atendente de Refeitório</v>
      </c>
      <c r="O30" s="740"/>
      <c r="P30" s="741"/>
    </row>
    <row r="31" spans="1:16" ht="15.6">
      <c r="A31" s="7">
        <v>2</v>
      </c>
      <c r="B31" s="680" t="s">
        <v>466</v>
      </c>
      <c r="C31" s="681"/>
      <c r="D31" s="681"/>
      <c r="E31" s="681"/>
      <c r="F31" s="681"/>
      <c r="G31" s="681"/>
      <c r="H31" s="681"/>
      <c r="I31" s="681"/>
      <c r="J31" s="681"/>
      <c r="K31" s="681"/>
      <c r="L31" s="681"/>
      <c r="M31" s="682"/>
      <c r="N31" s="781" t="s">
        <v>569</v>
      </c>
      <c r="O31" s="779"/>
      <c r="P31" s="780"/>
    </row>
    <row r="32" spans="1:16" ht="15.6">
      <c r="A32" s="7">
        <v>3</v>
      </c>
      <c r="B32" s="680" t="s">
        <v>468</v>
      </c>
      <c r="C32" s="681"/>
      <c r="D32" s="681"/>
      <c r="E32" s="681"/>
      <c r="F32" s="681"/>
      <c r="G32" s="681"/>
      <c r="H32" s="681"/>
      <c r="I32" s="681"/>
      <c r="J32" s="681"/>
      <c r="K32" s="681"/>
      <c r="L32" s="681"/>
      <c r="M32" s="682"/>
      <c r="N32" s="772">
        <f>'BASE DE CÁLCULO'!G49</f>
        <v>1304.8</v>
      </c>
      <c r="O32" s="773"/>
      <c r="P32" s="774"/>
    </row>
    <row r="33" spans="1:16" ht="15.6">
      <c r="A33" s="7">
        <v>4</v>
      </c>
      <c r="B33" s="680" t="s">
        <v>469</v>
      </c>
      <c r="C33" s="681"/>
      <c r="D33" s="681"/>
      <c r="E33" s="681"/>
      <c r="F33" s="681"/>
      <c r="G33" s="681"/>
      <c r="H33" s="681"/>
      <c r="I33" s="681"/>
      <c r="J33" s="681"/>
      <c r="K33" s="681"/>
      <c r="L33" s="681"/>
      <c r="M33" s="682"/>
      <c r="N33" s="782" t="str">
        <f>'BASE DE CÁLCULO'!E49</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1304.8</v>
      </c>
      <c r="O39" s="773"/>
      <c r="P39" s="774"/>
    </row>
    <row r="40" spans="1:16" ht="15.6">
      <c r="A40" s="7" t="s">
        <v>27</v>
      </c>
      <c r="B40" s="680" t="s">
        <v>474</v>
      </c>
      <c r="C40" s="681"/>
      <c r="D40" s="681"/>
      <c r="E40" s="681"/>
      <c r="F40" s="681"/>
      <c r="G40" s="681"/>
      <c r="H40" s="681"/>
      <c r="I40" s="681"/>
      <c r="J40" s="681"/>
      <c r="K40" s="681"/>
      <c r="L40" s="681"/>
      <c r="M40" s="682"/>
      <c r="N40" s="772" t="str">
        <f>'BASE DE CÁLCULO'!I49</f>
        <v>-</v>
      </c>
      <c r="O40" s="773"/>
      <c r="P40" s="774"/>
    </row>
    <row r="41" spans="1:16" ht="15.6">
      <c r="A41" s="7" t="s">
        <v>30</v>
      </c>
      <c r="B41" s="680" t="s">
        <v>475</v>
      </c>
      <c r="C41" s="681"/>
      <c r="D41" s="681"/>
      <c r="E41" s="681"/>
      <c r="F41" s="681"/>
      <c r="G41" s="681"/>
      <c r="H41" s="681"/>
      <c r="I41" s="681"/>
      <c r="J41" s="681"/>
      <c r="K41" s="681"/>
      <c r="L41" s="681"/>
      <c r="M41" s="682"/>
      <c r="N41" s="772" t="str">
        <f>'BASE DE CÁLCULO'!J49</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1304.8</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812">
        <f>N46*'BASE DE CÁLCULO'!C85</f>
        <v>148.75</v>
      </c>
      <c r="O52" s="813"/>
      <c r="P52" s="814"/>
    </row>
    <row r="53" spans="1:16" ht="15.6">
      <c r="A53" s="7" t="s">
        <v>27</v>
      </c>
      <c r="B53" s="680" t="s">
        <v>487</v>
      </c>
      <c r="C53" s="681"/>
      <c r="D53" s="681"/>
      <c r="E53" s="681"/>
      <c r="F53" s="681"/>
      <c r="G53" s="681"/>
      <c r="H53" s="681"/>
      <c r="I53" s="681"/>
      <c r="J53" s="681"/>
      <c r="K53" s="681"/>
      <c r="L53" s="681"/>
      <c r="M53" s="682"/>
      <c r="N53" s="812">
        <f>(N46*'BASE DE CÁLCULO'!C94)+(N46*'BASE DE CÁLCULO'!C86)</f>
        <v>198.33</v>
      </c>
      <c r="O53" s="813"/>
      <c r="P53" s="814"/>
    </row>
    <row r="54" spans="1:16" ht="15.6">
      <c r="A54" s="633" t="s">
        <v>480</v>
      </c>
      <c r="B54" s="634"/>
      <c r="C54" s="634"/>
      <c r="D54" s="634"/>
      <c r="E54" s="634"/>
      <c r="F54" s="634"/>
      <c r="G54" s="634"/>
      <c r="H54" s="634"/>
      <c r="I54" s="634"/>
      <c r="J54" s="634"/>
      <c r="K54" s="634"/>
      <c r="L54" s="634"/>
      <c r="M54" s="635"/>
      <c r="N54" s="809">
        <f>SUM(N52:P53)</f>
        <v>347.08</v>
      </c>
      <c r="O54" s="810"/>
      <c r="P54" s="811"/>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260.95999999999998</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32.619999999999997</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39.14</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19.57</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13.05</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7.83</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2.61</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104.38</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480.16</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CÁLCULO'!K49</f>
        <v>109.96</v>
      </c>
      <c r="O75" s="773"/>
      <c r="P75" s="774"/>
    </row>
    <row r="76" spans="1:16" ht="16.5" customHeight="1">
      <c r="A76" s="7" t="s">
        <v>27</v>
      </c>
      <c r="B76" s="680" t="s">
        <v>331</v>
      </c>
      <c r="C76" s="681"/>
      <c r="D76" s="681"/>
      <c r="E76" s="681"/>
      <c r="F76" s="681"/>
      <c r="G76" s="681"/>
      <c r="H76" s="681"/>
      <c r="I76" s="681"/>
      <c r="J76" s="681"/>
      <c r="K76" s="681"/>
      <c r="L76" s="681"/>
      <c r="M76" s="682"/>
      <c r="N76" s="772">
        <f>'BASE DE CÁLCULO'!L49</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CÁLCULO'!N49</f>
        <v>230.26</v>
      </c>
      <c r="O77" s="773"/>
      <c r="P77" s="774"/>
    </row>
    <row r="78" spans="1:16" ht="15.6">
      <c r="A78" s="7" t="s">
        <v>32</v>
      </c>
      <c r="B78" s="680" t="s">
        <v>509</v>
      </c>
      <c r="C78" s="681"/>
      <c r="D78" s="681"/>
      <c r="E78" s="681"/>
      <c r="F78" s="681"/>
      <c r="G78" s="681"/>
      <c r="H78" s="681"/>
      <c r="I78" s="681"/>
      <c r="J78" s="681"/>
      <c r="K78" s="681"/>
      <c r="L78" s="681"/>
      <c r="M78" s="682"/>
      <c r="N78" s="772">
        <f>'BASE DE CÁLCULO'!M49</f>
        <v>0</v>
      </c>
      <c r="O78" s="773"/>
      <c r="P78" s="774"/>
    </row>
    <row r="79" spans="1:16" ht="15.6">
      <c r="A79" s="7" t="s">
        <v>56</v>
      </c>
      <c r="B79" s="680" t="s">
        <v>510</v>
      </c>
      <c r="C79" s="681"/>
      <c r="D79" s="681"/>
      <c r="E79" s="681"/>
      <c r="F79" s="681"/>
      <c r="G79" s="681"/>
      <c r="H79" s="681"/>
      <c r="I79" s="681"/>
      <c r="J79" s="681"/>
      <c r="K79" s="681"/>
      <c r="L79" s="681"/>
      <c r="M79" s="682"/>
      <c r="N79" s="772">
        <f>'BASE DE CÁLCULO'!Q49</f>
        <v>25.3</v>
      </c>
      <c r="O79" s="773"/>
      <c r="P79" s="774"/>
    </row>
    <row r="80" spans="1:16" ht="15.6">
      <c r="A80" s="7" t="s">
        <v>58</v>
      </c>
      <c r="B80" s="680" t="s">
        <v>511</v>
      </c>
      <c r="C80" s="681"/>
      <c r="D80" s="681"/>
      <c r="E80" s="681"/>
      <c r="F80" s="681"/>
      <c r="G80" s="681"/>
      <c r="H80" s="681"/>
      <c r="I80" s="681"/>
      <c r="J80" s="681"/>
      <c r="K80" s="681"/>
      <c r="L80" s="681"/>
      <c r="M80" s="682"/>
      <c r="N80" s="714">
        <f>'BASE DE CÁLCULO'!S49</f>
        <v>173.4</v>
      </c>
      <c r="O80" s="715"/>
      <c r="P80" s="716"/>
    </row>
    <row r="81" spans="1:16" ht="16.2" customHeight="1">
      <c r="A81" s="7" t="s">
        <v>60</v>
      </c>
      <c r="B81" s="680" t="s">
        <v>334</v>
      </c>
      <c r="C81" s="681"/>
      <c r="D81" s="681"/>
      <c r="E81" s="681"/>
      <c r="F81" s="681"/>
      <c r="G81" s="681"/>
      <c r="H81" s="681"/>
      <c r="I81" s="681"/>
      <c r="J81" s="681"/>
      <c r="K81" s="681"/>
      <c r="L81" s="681"/>
      <c r="M81" s="682"/>
      <c r="N81" s="772">
        <f>'BASE DE CÁLCULO'!R49</f>
        <v>6.43</v>
      </c>
      <c r="O81" s="773"/>
      <c r="P81" s="774"/>
    </row>
    <row r="82" spans="1:16" ht="15.6">
      <c r="A82" s="633" t="s">
        <v>480</v>
      </c>
      <c r="B82" s="634"/>
      <c r="C82" s="634"/>
      <c r="D82" s="634"/>
      <c r="E82" s="634"/>
      <c r="F82" s="634"/>
      <c r="G82" s="634"/>
      <c r="H82" s="634"/>
      <c r="I82" s="634"/>
      <c r="J82" s="634"/>
      <c r="K82" s="634"/>
      <c r="L82" s="634"/>
      <c r="M82" s="635"/>
      <c r="N82" s="806">
        <f>SUM(N75:P81)</f>
        <v>703.46</v>
      </c>
      <c r="O82" s="807"/>
      <c r="P82" s="808"/>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347.08</v>
      </c>
      <c r="O88" s="769"/>
      <c r="P88" s="770"/>
    </row>
    <row r="89" spans="1:16" ht="15.6">
      <c r="A89" s="11" t="s">
        <v>491</v>
      </c>
      <c r="B89" s="699" t="s">
        <v>518</v>
      </c>
      <c r="C89" s="700"/>
      <c r="D89" s="700"/>
      <c r="E89" s="700"/>
      <c r="F89" s="700"/>
      <c r="G89" s="700"/>
      <c r="H89" s="700"/>
      <c r="I89" s="700"/>
      <c r="J89" s="700"/>
      <c r="K89" s="700"/>
      <c r="L89" s="700"/>
      <c r="M89" s="701"/>
      <c r="N89" s="769">
        <f>N68</f>
        <v>480.16</v>
      </c>
      <c r="O89" s="769"/>
      <c r="P89" s="770"/>
    </row>
    <row r="90" spans="1:16" ht="15.6">
      <c r="A90" s="9" t="s">
        <v>506</v>
      </c>
      <c r="B90" s="699" t="s">
        <v>519</v>
      </c>
      <c r="C90" s="700"/>
      <c r="D90" s="700"/>
      <c r="E90" s="700"/>
      <c r="F90" s="700"/>
      <c r="G90" s="700"/>
      <c r="H90" s="700"/>
      <c r="I90" s="700"/>
      <c r="J90" s="700"/>
      <c r="K90" s="700"/>
      <c r="L90" s="700"/>
      <c r="M90" s="701"/>
      <c r="N90" s="769">
        <f>N82</f>
        <v>703.46</v>
      </c>
      <c r="O90" s="769"/>
      <c r="P90" s="770"/>
    </row>
    <row r="91" spans="1:16" ht="15.6">
      <c r="A91" s="633" t="s">
        <v>480</v>
      </c>
      <c r="B91" s="702"/>
      <c r="C91" s="702"/>
      <c r="D91" s="702"/>
      <c r="E91" s="702"/>
      <c r="F91" s="702"/>
      <c r="G91" s="702"/>
      <c r="H91" s="702"/>
      <c r="I91" s="702"/>
      <c r="J91" s="702"/>
      <c r="K91" s="702"/>
      <c r="L91" s="702"/>
      <c r="M91" s="703"/>
      <c r="N91" s="765">
        <f>SUM(N88:P90)</f>
        <v>1530.7</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5.48</v>
      </c>
      <c r="O95" s="769"/>
      <c r="P95" s="770"/>
    </row>
    <row r="96" spans="1:16" ht="15.6">
      <c r="A96" s="7" t="s">
        <v>27</v>
      </c>
      <c r="B96" s="680" t="s">
        <v>522</v>
      </c>
      <c r="C96" s="681"/>
      <c r="D96" s="681"/>
      <c r="E96" s="681"/>
      <c r="F96" s="681"/>
      <c r="G96" s="681"/>
      <c r="H96" s="681"/>
      <c r="I96" s="681"/>
      <c r="J96" s="681"/>
      <c r="K96" s="681"/>
      <c r="L96" s="681"/>
      <c r="M96" s="682"/>
      <c r="N96" s="768">
        <f>N46*'BASE DE CÁLCULO'!C89</f>
        <v>0.39</v>
      </c>
      <c r="O96" s="769"/>
      <c r="P96" s="770"/>
    </row>
    <row r="97" spans="1:16" ht="15.6">
      <c r="A97" s="7" t="s">
        <v>30</v>
      </c>
      <c r="B97" s="680" t="s">
        <v>523</v>
      </c>
      <c r="C97" s="681"/>
      <c r="D97" s="681"/>
      <c r="E97" s="681"/>
      <c r="F97" s="681"/>
      <c r="G97" s="681"/>
      <c r="H97" s="681"/>
      <c r="I97" s="681"/>
      <c r="J97" s="681"/>
      <c r="K97" s="681"/>
      <c r="L97" s="681"/>
      <c r="M97" s="682"/>
      <c r="N97" s="768">
        <f>N46*'BASE DE CÁLCULO'!C90</f>
        <v>0.13</v>
      </c>
      <c r="O97" s="769"/>
      <c r="P97" s="770"/>
    </row>
    <row r="98" spans="1:16" ht="15.6">
      <c r="A98" s="7" t="s">
        <v>32</v>
      </c>
      <c r="B98" s="680" t="s">
        <v>524</v>
      </c>
      <c r="C98" s="681"/>
      <c r="D98" s="681"/>
      <c r="E98" s="681"/>
      <c r="F98" s="681"/>
      <c r="G98" s="681"/>
      <c r="H98" s="681"/>
      <c r="I98" s="681"/>
      <c r="J98" s="681"/>
      <c r="K98" s="681"/>
      <c r="L98" s="681"/>
      <c r="M98" s="682"/>
      <c r="N98" s="768">
        <f>N46*'BASE DE CÁLCULO'!C91</f>
        <v>25.31</v>
      </c>
      <c r="O98" s="769"/>
      <c r="P98" s="770"/>
    </row>
    <row r="99" spans="1:16" ht="15.6">
      <c r="A99" s="7" t="s">
        <v>56</v>
      </c>
      <c r="B99" s="680" t="s">
        <v>525</v>
      </c>
      <c r="C99" s="681"/>
      <c r="D99" s="681"/>
      <c r="E99" s="681"/>
      <c r="F99" s="681"/>
      <c r="G99" s="681"/>
      <c r="H99" s="681"/>
      <c r="I99" s="681"/>
      <c r="J99" s="681"/>
      <c r="K99" s="681"/>
      <c r="L99" s="681"/>
      <c r="M99" s="682"/>
      <c r="N99" s="768">
        <f>N46*'BASE DE CÁLCULO'!C92</f>
        <v>9.26</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0.78</v>
      </c>
      <c r="O100" s="684"/>
      <c r="P100" s="685"/>
    </row>
    <row r="101" spans="1:16" ht="15.6">
      <c r="A101" s="633" t="s">
        <v>480</v>
      </c>
      <c r="B101" s="634"/>
      <c r="C101" s="634"/>
      <c r="D101" s="634"/>
      <c r="E101" s="634"/>
      <c r="F101" s="634"/>
      <c r="G101" s="634"/>
      <c r="H101" s="634"/>
      <c r="I101" s="634"/>
      <c r="J101" s="634"/>
      <c r="K101" s="634"/>
      <c r="L101" s="634"/>
      <c r="M101" s="635"/>
      <c r="N101" s="765">
        <f>SUM(N95:P100)</f>
        <v>41.35</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148.75</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14.87</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24.79</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0.39</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6</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3.13</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1.04</v>
      </c>
      <c r="O115" s="769"/>
      <c r="P115" s="770"/>
    </row>
    <row r="116" spans="1:16" ht="15.6">
      <c r="A116" s="633" t="s">
        <v>480</v>
      </c>
      <c r="B116" s="634"/>
      <c r="C116" s="634"/>
      <c r="D116" s="634"/>
      <c r="E116" s="634"/>
      <c r="F116" s="634"/>
      <c r="G116" s="634"/>
      <c r="H116" s="634"/>
      <c r="I116" s="634"/>
      <c r="J116" s="634"/>
      <c r="K116" s="634"/>
      <c r="L116" s="634"/>
      <c r="M116" s="635"/>
      <c r="N116" s="765">
        <f>SUM(N109:P115)</f>
        <v>198.97</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198.97</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198.97</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CÁLCULO'!O49</f>
        <v>100.55</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CÁLCULO'!P49</f>
        <v>1.91</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102.46</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158.91</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333.72</v>
      </c>
      <c r="O142" s="684"/>
      <c r="P142" s="685"/>
    </row>
    <row r="143" spans="1:16" ht="16.5" customHeight="1">
      <c r="A143" s="7" t="s">
        <v>30</v>
      </c>
      <c r="B143" s="633" t="s">
        <v>552</v>
      </c>
      <c r="C143" s="634"/>
      <c r="D143" s="634"/>
      <c r="E143" s="634"/>
      <c r="F143" s="634"/>
      <c r="G143" s="634"/>
      <c r="H143" s="634"/>
      <c r="I143" s="634"/>
      <c r="J143" s="634"/>
      <c r="K143" s="635"/>
      <c r="L143" s="694">
        <f>SUM(L144:M146)</f>
        <v>0.13250000000000001</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391.42</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CÁLCULO'!C71</f>
        <v>0.04</v>
      </c>
      <c r="M146" s="626"/>
      <c r="N146" s="683">
        <f>(($N$158+$N$141+$N$142)/(100%-$L$143))*L146</f>
        <v>169.26</v>
      </c>
      <c r="O146" s="684"/>
      <c r="P146" s="685"/>
    </row>
    <row r="147" spans="1:17" ht="15.6">
      <c r="A147" s="633" t="s">
        <v>480</v>
      </c>
      <c r="B147" s="634"/>
      <c r="C147" s="634"/>
      <c r="D147" s="634"/>
      <c r="E147" s="634"/>
      <c r="F147" s="634"/>
      <c r="G147" s="634"/>
      <c r="H147" s="634"/>
      <c r="I147" s="634"/>
      <c r="J147" s="634"/>
      <c r="K147" s="635"/>
      <c r="L147" s="694">
        <f>SUM(L141:M143)</f>
        <v>0.28249999999999997</v>
      </c>
      <c r="M147" s="620"/>
      <c r="N147" s="765">
        <f>SUM(N141:P146)</f>
        <v>1053.31</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1304.8</v>
      </c>
      <c r="O153" s="769"/>
      <c r="P153" s="770"/>
    </row>
    <row r="154" spans="1:17" ht="15.6">
      <c r="A154" s="7" t="s">
        <v>27</v>
      </c>
      <c r="B154" s="680" t="s">
        <v>561</v>
      </c>
      <c r="C154" s="681"/>
      <c r="D154" s="681"/>
      <c r="E154" s="681"/>
      <c r="F154" s="681"/>
      <c r="G154" s="681"/>
      <c r="H154" s="681"/>
      <c r="I154" s="681"/>
      <c r="J154" s="681"/>
      <c r="K154" s="681"/>
      <c r="L154" s="681"/>
      <c r="M154" s="682"/>
      <c r="N154" s="768">
        <f>N91</f>
        <v>1530.7</v>
      </c>
      <c r="O154" s="769"/>
      <c r="P154" s="770"/>
    </row>
    <row r="155" spans="1:17" ht="15.6">
      <c r="A155" s="7" t="s">
        <v>30</v>
      </c>
      <c r="B155" s="680" t="s">
        <v>562</v>
      </c>
      <c r="C155" s="681"/>
      <c r="D155" s="681"/>
      <c r="E155" s="681"/>
      <c r="F155" s="681"/>
      <c r="G155" s="681"/>
      <c r="H155" s="681"/>
      <c r="I155" s="681"/>
      <c r="J155" s="681"/>
      <c r="K155" s="681"/>
      <c r="L155" s="681"/>
      <c r="M155" s="682"/>
      <c r="N155" s="768">
        <f>N101</f>
        <v>41.35</v>
      </c>
      <c r="O155" s="769"/>
      <c r="P155" s="770"/>
    </row>
    <row r="156" spans="1:17" ht="15.6">
      <c r="A156" s="7" t="s">
        <v>32</v>
      </c>
      <c r="B156" s="680" t="s">
        <v>563</v>
      </c>
      <c r="C156" s="681"/>
      <c r="D156" s="681"/>
      <c r="E156" s="681"/>
      <c r="F156" s="681"/>
      <c r="G156" s="681"/>
      <c r="H156" s="681"/>
      <c r="I156" s="681"/>
      <c r="J156" s="681"/>
      <c r="K156" s="681"/>
      <c r="L156" s="681"/>
      <c r="M156" s="682"/>
      <c r="N156" s="768">
        <f>N129</f>
        <v>198.97</v>
      </c>
      <c r="O156" s="769"/>
      <c r="P156" s="770"/>
    </row>
    <row r="157" spans="1:17" ht="15.6">
      <c r="A157" s="7" t="s">
        <v>56</v>
      </c>
      <c r="B157" s="680" t="s">
        <v>564</v>
      </c>
      <c r="C157" s="681"/>
      <c r="D157" s="681"/>
      <c r="E157" s="681"/>
      <c r="F157" s="681"/>
      <c r="G157" s="681"/>
      <c r="H157" s="681"/>
      <c r="I157" s="681"/>
      <c r="J157" s="681"/>
      <c r="K157" s="681"/>
      <c r="L157" s="681"/>
      <c r="M157" s="682"/>
      <c r="N157" s="768">
        <f>N136</f>
        <v>102.46</v>
      </c>
      <c r="O157" s="769"/>
      <c r="P157" s="770"/>
    </row>
    <row r="158" spans="1:17" ht="15.6">
      <c r="A158" s="633" t="s">
        <v>565</v>
      </c>
      <c r="B158" s="634"/>
      <c r="C158" s="634"/>
      <c r="D158" s="634"/>
      <c r="E158" s="634"/>
      <c r="F158" s="634"/>
      <c r="G158" s="634"/>
      <c r="H158" s="634"/>
      <c r="I158" s="634"/>
      <c r="J158" s="634"/>
      <c r="K158" s="634"/>
      <c r="L158" s="634"/>
      <c r="M158" s="635"/>
      <c r="N158" s="765">
        <f>SUM(N153:P157)</f>
        <v>3178.28</v>
      </c>
      <c r="O158" s="766"/>
      <c r="P158" s="767"/>
    </row>
    <row r="159" spans="1:17" ht="15.6">
      <c r="A159" s="7" t="s">
        <v>58</v>
      </c>
      <c r="B159" s="680" t="s">
        <v>566</v>
      </c>
      <c r="C159" s="681"/>
      <c r="D159" s="681"/>
      <c r="E159" s="681"/>
      <c r="F159" s="681"/>
      <c r="G159" s="681"/>
      <c r="H159" s="681"/>
      <c r="I159" s="681"/>
      <c r="J159" s="681"/>
      <c r="K159" s="681"/>
      <c r="L159" s="681"/>
      <c r="M159" s="682"/>
      <c r="N159" s="768">
        <f>N147</f>
        <v>1053.31</v>
      </c>
      <c r="O159" s="769"/>
      <c r="P159" s="770"/>
    </row>
    <row r="160" spans="1:17" ht="15.6">
      <c r="A160" s="633" t="s">
        <v>567</v>
      </c>
      <c r="B160" s="634"/>
      <c r="C160" s="634"/>
      <c r="D160" s="634"/>
      <c r="E160" s="634"/>
      <c r="F160" s="634"/>
      <c r="G160" s="634"/>
      <c r="H160" s="634"/>
      <c r="I160" s="634"/>
      <c r="J160" s="634"/>
      <c r="K160" s="634"/>
      <c r="L160" s="634"/>
      <c r="M160" s="635"/>
      <c r="N160" s="765">
        <f>SUM(N158:P159)</f>
        <v>4231.59</v>
      </c>
      <c r="O160" s="766"/>
      <c r="P160" s="767"/>
    </row>
    <row r="161" spans="1:16" ht="15.6">
      <c r="A161" s="633" t="s">
        <v>568</v>
      </c>
      <c r="B161" s="634"/>
      <c r="C161" s="634"/>
      <c r="D161" s="634"/>
      <c r="E161" s="634"/>
      <c r="F161" s="634"/>
      <c r="G161" s="634"/>
      <c r="H161" s="634"/>
      <c r="I161" s="634"/>
      <c r="J161" s="634"/>
      <c r="K161" s="634"/>
      <c r="L161" s="634"/>
      <c r="M161" s="635"/>
      <c r="N161" s="665">
        <f>N160*N20</f>
        <v>8463.18</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23" zoomScale="85" zoomScaleNormal="85" workbookViewId="0">
      <selection activeCell="V23" sqref="V23"/>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CÁLCULO'!B50</f>
        <v>São Mateus/ES</v>
      </c>
      <c r="O12" s="740"/>
      <c r="P12" s="741"/>
    </row>
    <row r="13" spans="1:16" ht="15.6">
      <c r="A13" s="7" t="s">
        <v>30</v>
      </c>
      <c r="B13" s="680" t="s">
        <v>455</v>
      </c>
      <c r="C13" s="681"/>
      <c r="D13" s="681"/>
      <c r="E13" s="681"/>
      <c r="F13" s="681"/>
      <c r="G13" s="681"/>
      <c r="H13" s="681"/>
      <c r="I13" s="681"/>
      <c r="J13" s="681"/>
      <c r="K13" s="681"/>
      <c r="L13" s="681"/>
      <c r="M13" s="682"/>
      <c r="N13" s="739" t="str">
        <f>'BASE DE CÁLCULO'!D50</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CÁLCULO'!C50</f>
        <v>Auxliar de Cozinha I</v>
      </c>
      <c r="B20" s="625"/>
      <c r="C20" s="625"/>
      <c r="D20" s="626"/>
      <c r="E20" s="751" t="s">
        <v>459</v>
      </c>
      <c r="F20" s="752"/>
      <c r="G20" s="752"/>
      <c r="H20" s="752"/>
      <c r="I20" s="752"/>
      <c r="J20" s="752"/>
      <c r="K20" s="752"/>
      <c r="L20" s="752"/>
      <c r="M20" s="753"/>
      <c r="N20" s="789">
        <f>'BASE DE CÁLCULO'!F50</f>
        <v>9</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Auxliar de Cozinha I</v>
      </c>
      <c r="O30" s="740"/>
      <c r="P30" s="741"/>
    </row>
    <row r="31" spans="1:16" ht="15.6">
      <c r="A31" s="7">
        <v>2</v>
      </c>
      <c r="B31" s="680" t="s">
        <v>466</v>
      </c>
      <c r="C31" s="681"/>
      <c r="D31" s="681"/>
      <c r="E31" s="681"/>
      <c r="F31" s="681"/>
      <c r="G31" s="681"/>
      <c r="H31" s="681"/>
      <c r="I31" s="681"/>
      <c r="J31" s="681"/>
      <c r="K31" s="681"/>
      <c r="L31" s="681"/>
      <c r="M31" s="682"/>
      <c r="N31" s="781" t="s">
        <v>570</v>
      </c>
      <c r="O31" s="779"/>
      <c r="P31" s="780"/>
    </row>
    <row r="32" spans="1:16" ht="15.6">
      <c r="A32" s="7">
        <v>3</v>
      </c>
      <c r="B32" s="680" t="s">
        <v>468</v>
      </c>
      <c r="C32" s="681"/>
      <c r="D32" s="681"/>
      <c r="E32" s="681"/>
      <c r="F32" s="681"/>
      <c r="G32" s="681"/>
      <c r="H32" s="681"/>
      <c r="I32" s="681"/>
      <c r="J32" s="681"/>
      <c r="K32" s="681"/>
      <c r="L32" s="681"/>
      <c r="M32" s="682"/>
      <c r="N32" s="772">
        <f>'BASE DE CÁLCULO'!G50</f>
        <v>1304.8</v>
      </c>
      <c r="O32" s="773"/>
      <c r="P32" s="774"/>
    </row>
    <row r="33" spans="1:16" ht="15.6">
      <c r="A33" s="7">
        <v>4</v>
      </c>
      <c r="B33" s="680" t="s">
        <v>469</v>
      </c>
      <c r="C33" s="681"/>
      <c r="D33" s="681"/>
      <c r="E33" s="681"/>
      <c r="F33" s="681"/>
      <c r="G33" s="681"/>
      <c r="H33" s="681"/>
      <c r="I33" s="681"/>
      <c r="J33" s="681"/>
      <c r="K33" s="681"/>
      <c r="L33" s="681"/>
      <c r="M33" s="682"/>
      <c r="N33" s="782" t="str">
        <f>'BASE DE CÁLCULO'!E50</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579</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1304.8</v>
      </c>
      <c r="O39" s="773"/>
      <c r="P39" s="774"/>
    </row>
    <row r="40" spans="1:16" ht="15.6">
      <c r="A40" s="7" t="s">
        <v>27</v>
      </c>
      <c r="B40" s="680" t="s">
        <v>474</v>
      </c>
      <c r="C40" s="681"/>
      <c r="D40" s="681"/>
      <c r="E40" s="681"/>
      <c r="F40" s="681"/>
      <c r="G40" s="681"/>
      <c r="H40" s="681"/>
      <c r="I40" s="681"/>
      <c r="J40" s="681"/>
      <c r="K40" s="681"/>
      <c r="L40" s="681"/>
      <c r="M40" s="682"/>
      <c r="N40" s="772" t="str">
        <f>'BASE DE CÁLCULO'!I50</f>
        <v>-</v>
      </c>
      <c r="O40" s="773"/>
      <c r="P40" s="774"/>
    </row>
    <row r="41" spans="1:16" ht="15.6">
      <c r="A41" s="7" t="s">
        <v>30</v>
      </c>
      <c r="B41" s="680" t="s">
        <v>475</v>
      </c>
      <c r="C41" s="681"/>
      <c r="D41" s="681"/>
      <c r="E41" s="681"/>
      <c r="F41" s="681"/>
      <c r="G41" s="681"/>
      <c r="H41" s="681"/>
      <c r="I41" s="681"/>
      <c r="J41" s="681"/>
      <c r="K41" s="681"/>
      <c r="L41" s="681"/>
      <c r="M41" s="682"/>
      <c r="N41" s="772">
        <f>'BASE DE CÁLCULO'!J50</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1547.2</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176.38</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235.17</v>
      </c>
      <c r="O53" s="773"/>
      <c r="P53" s="774"/>
    </row>
    <row r="54" spans="1:16" ht="15.6">
      <c r="A54" s="633" t="s">
        <v>480</v>
      </c>
      <c r="B54" s="634"/>
      <c r="C54" s="634"/>
      <c r="D54" s="634"/>
      <c r="E54" s="634"/>
      <c r="F54" s="634"/>
      <c r="G54" s="634"/>
      <c r="H54" s="634"/>
      <c r="I54" s="634"/>
      <c r="J54" s="634"/>
      <c r="K54" s="634"/>
      <c r="L54" s="634"/>
      <c r="M54" s="635"/>
      <c r="N54" s="775">
        <f>SUM(N52:P53)</f>
        <v>411.55</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309.44</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38.68</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46.42</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23.21</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15.47</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9.2799999999999994</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3.09</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123.78</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569.37</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CÁLCULO'!K50</f>
        <v>109.96</v>
      </c>
      <c r="O75" s="773"/>
      <c r="P75" s="774"/>
    </row>
    <row r="76" spans="1:16" ht="16.5" customHeight="1">
      <c r="A76" s="7" t="s">
        <v>27</v>
      </c>
      <c r="B76" s="680" t="s">
        <v>331</v>
      </c>
      <c r="C76" s="681"/>
      <c r="D76" s="681"/>
      <c r="E76" s="681"/>
      <c r="F76" s="681"/>
      <c r="G76" s="681"/>
      <c r="H76" s="681"/>
      <c r="I76" s="681"/>
      <c r="J76" s="681"/>
      <c r="K76" s="681"/>
      <c r="L76" s="681"/>
      <c r="M76" s="682"/>
      <c r="N76" s="772">
        <f>'BASE DE CÁLCULO'!L50</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CÁLCULO'!N50</f>
        <v>230.26</v>
      </c>
      <c r="O77" s="773"/>
      <c r="P77" s="774"/>
    </row>
    <row r="78" spans="1:16" ht="15.6">
      <c r="A78" s="7" t="s">
        <v>32</v>
      </c>
      <c r="B78" s="680" t="s">
        <v>509</v>
      </c>
      <c r="C78" s="681"/>
      <c r="D78" s="681"/>
      <c r="E78" s="681"/>
      <c r="F78" s="681"/>
      <c r="G78" s="681"/>
      <c r="H78" s="681"/>
      <c r="I78" s="681"/>
      <c r="J78" s="681"/>
      <c r="K78" s="681"/>
      <c r="L78" s="681"/>
      <c r="M78" s="682"/>
      <c r="N78" s="772">
        <f>'BASE DE CÁLCULO'!M50</f>
        <v>0</v>
      </c>
      <c r="O78" s="773"/>
      <c r="P78" s="774"/>
    </row>
    <row r="79" spans="1:16" ht="15.6">
      <c r="A79" s="7" t="s">
        <v>56</v>
      </c>
      <c r="B79" s="680" t="s">
        <v>510</v>
      </c>
      <c r="C79" s="681"/>
      <c r="D79" s="681"/>
      <c r="E79" s="681"/>
      <c r="F79" s="681"/>
      <c r="G79" s="681"/>
      <c r="H79" s="681"/>
      <c r="I79" s="681"/>
      <c r="J79" s="681"/>
      <c r="K79" s="681"/>
      <c r="L79" s="681"/>
      <c r="M79" s="682"/>
      <c r="N79" s="772">
        <f>'BASE DE CÁLCULO'!Q50</f>
        <v>25.3</v>
      </c>
      <c r="O79" s="773"/>
      <c r="P79" s="774"/>
    </row>
    <row r="80" spans="1:16" ht="15.6">
      <c r="A80" s="7" t="s">
        <v>58</v>
      </c>
      <c r="B80" s="680" t="s">
        <v>511</v>
      </c>
      <c r="C80" s="681"/>
      <c r="D80" s="681"/>
      <c r="E80" s="681"/>
      <c r="F80" s="681"/>
      <c r="G80" s="681"/>
      <c r="H80" s="681"/>
      <c r="I80" s="681"/>
      <c r="J80" s="681"/>
      <c r="K80" s="681"/>
      <c r="L80" s="681"/>
      <c r="M80" s="682"/>
      <c r="N80" s="714">
        <f>'BASE DE CÁLCULO'!S50</f>
        <v>173.4</v>
      </c>
      <c r="O80" s="715"/>
      <c r="P80" s="716"/>
    </row>
    <row r="81" spans="1:16" ht="16.2" customHeight="1">
      <c r="A81" s="7" t="s">
        <v>60</v>
      </c>
      <c r="B81" s="680" t="s">
        <v>334</v>
      </c>
      <c r="C81" s="681"/>
      <c r="D81" s="681"/>
      <c r="E81" s="681"/>
      <c r="F81" s="681"/>
      <c r="G81" s="681"/>
      <c r="H81" s="681"/>
      <c r="I81" s="681"/>
      <c r="J81" s="681"/>
      <c r="K81" s="681"/>
      <c r="L81" s="681"/>
      <c r="M81" s="682"/>
      <c r="N81" s="772">
        <f>'BASE DE CÁLCULO'!R50</f>
        <v>6.43</v>
      </c>
      <c r="O81" s="773"/>
      <c r="P81" s="774"/>
    </row>
    <row r="82" spans="1:16" ht="15.6">
      <c r="A82" s="633" t="s">
        <v>480</v>
      </c>
      <c r="B82" s="634"/>
      <c r="C82" s="634"/>
      <c r="D82" s="634"/>
      <c r="E82" s="634"/>
      <c r="F82" s="634"/>
      <c r="G82" s="634"/>
      <c r="H82" s="634"/>
      <c r="I82" s="634"/>
      <c r="J82" s="634"/>
      <c r="K82" s="634"/>
      <c r="L82" s="634"/>
      <c r="M82" s="635"/>
      <c r="N82" s="775">
        <f>SUM(N75:P81)</f>
        <v>703.46</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411.55</v>
      </c>
      <c r="O88" s="769"/>
      <c r="P88" s="770"/>
    </row>
    <row r="89" spans="1:16" ht="15.6">
      <c r="A89" s="11" t="s">
        <v>491</v>
      </c>
      <c r="B89" s="699" t="s">
        <v>518</v>
      </c>
      <c r="C89" s="700"/>
      <c r="D89" s="700"/>
      <c r="E89" s="700"/>
      <c r="F89" s="700"/>
      <c r="G89" s="700"/>
      <c r="H89" s="700"/>
      <c r="I89" s="700"/>
      <c r="J89" s="700"/>
      <c r="K89" s="700"/>
      <c r="L89" s="700"/>
      <c r="M89" s="701"/>
      <c r="N89" s="769">
        <f>N68</f>
        <v>569.37</v>
      </c>
      <c r="O89" s="769"/>
      <c r="P89" s="770"/>
    </row>
    <row r="90" spans="1:16" ht="15.6">
      <c r="A90" s="9" t="s">
        <v>506</v>
      </c>
      <c r="B90" s="699" t="s">
        <v>519</v>
      </c>
      <c r="C90" s="700"/>
      <c r="D90" s="700"/>
      <c r="E90" s="700"/>
      <c r="F90" s="700"/>
      <c r="G90" s="700"/>
      <c r="H90" s="700"/>
      <c r="I90" s="700"/>
      <c r="J90" s="700"/>
      <c r="K90" s="700"/>
      <c r="L90" s="700"/>
      <c r="M90" s="701"/>
      <c r="N90" s="769">
        <f>N82</f>
        <v>703.46</v>
      </c>
      <c r="O90" s="769"/>
      <c r="P90" s="770"/>
    </row>
    <row r="91" spans="1:16" ht="15.6">
      <c r="A91" s="633" t="s">
        <v>480</v>
      </c>
      <c r="B91" s="702"/>
      <c r="C91" s="702"/>
      <c r="D91" s="702"/>
      <c r="E91" s="702"/>
      <c r="F91" s="702"/>
      <c r="G91" s="702"/>
      <c r="H91" s="702"/>
      <c r="I91" s="702"/>
      <c r="J91" s="702"/>
      <c r="K91" s="702"/>
      <c r="L91" s="702"/>
      <c r="M91" s="703"/>
      <c r="N91" s="765">
        <f>SUM(N88:P90)</f>
        <v>1684.38</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6.5</v>
      </c>
      <c r="O95" s="769"/>
      <c r="P95" s="770"/>
    </row>
    <row r="96" spans="1:16" ht="15.6">
      <c r="A96" s="7" t="s">
        <v>27</v>
      </c>
      <c r="B96" s="680" t="s">
        <v>522</v>
      </c>
      <c r="C96" s="681"/>
      <c r="D96" s="681"/>
      <c r="E96" s="681"/>
      <c r="F96" s="681"/>
      <c r="G96" s="681"/>
      <c r="H96" s="681"/>
      <c r="I96" s="681"/>
      <c r="J96" s="681"/>
      <c r="K96" s="681"/>
      <c r="L96" s="681"/>
      <c r="M96" s="682"/>
      <c r="N96" s="768">
        <f>N46*'BASE DE CÁLCULO'!C89</f>
        <v>0.46</v>
      </c>
      <c r="O96" s="769"/>
      <c r="P96" s="770"/>
    </row>
    <row r="97" spans="1:16" ht="15.6">
      <c r="A97" s="7" t="s">
        <v>30</v>
      </c>
      <c r="B97" s="680" t="s">
        <v>523</v>
      </c>
      <c r="C97" s="681"/>
      <c r="D97" s="681"/>
      <c r="E97" s="681"/>
      <c r="F97" s="681"/>
      <c r="G97" s="681"/>
      <c r="H97" s="681"/>
      <c r="I97" s="681"/>
      <c r="J97" s="681"/>
      <c r="K97" s="681"/>
      <c r="L97" s="681"/>
      <c r="M97" s="682"/>
      <c r="N97" s="768">
        <f>N46*'BASE DE CÁLCULO'!C90</f>
        <v>0.15</v>
      </c>
      <c r="O97" s="769"/>
      <c r="P97" s="770"/>
    </row>
    <row r="98" spans="1:16" ht="15.6">
      <c r="A98" s="7" t="s">
        <v>32</v>
      </c>
      <c r="B98" s="680" t="s">
        <v>524</v>
      </c>
      <c r="C98" s="681"/>
      <c r="D98" s="681"/>
      <c r="E98" s="681"/>
      <c r="F98" s="681"/>
      <c r="G98" s="681"/>
      <c r="H98" s="681"/>
      <c r="I98" s="681"/>
      <c r="J98" s="681"/>
      <c r="K98" s="681"/>
      <c r="L98" s="681"/>
      <c r="M98" s="682"/>
      <c r="N98" s="768">
        <f>N46*'BASE DE CÁLCULO'!C91</f>
        <v>30.02</v>
      </c>
      <c r="O98" s="769"/>
      <c r="P98" s="770"/>
    </row>
    <row r="99" spans="1:16" ht="15.6">
      <c r="A99" s="7" t="s">
        <v>56</v>
      </c>
      <c r="B99" s="680" t="s">
        <v>525</v>
      </c>
      <c r="C99" s="681"/>
      <c r="D99" s="681"/>
      <c r="E99" s="681"/>
      <c r="F99" s="681"/>
      <c r="G99" s="681"/>
      <c r="H99" s="681"/>
      <c r="I99" s="681"/>
      <c r="J99" s="681"/>
      <c r="K99" s="681"/>
      <c r="L99" s="681"/>
      <c r="M99" s="682"/>
      <c r="N99" s="768">
        <f>N46*'BASE DE CÁLCULO'!C92</f>
        <v>10.99</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0.93</v>
      </c>
      <c r="O100" s="684"/>
      <c r="P100" s="685"/>
    </row>
    <row r="101" spans="1:16" ht="15.6">
      <c r="A101" s="633" t="s">
        <v>480</v>
      </c>
      <c r="B101" s="634"/>
      <c r="C101" s="634"/>
      <c r="D101" s="634"/>
      <c r="E101" s="634"/>
      <c r="F101" s="634"/>
      <c r="G101" s="634"/>
      <c r="H101" s="634"/>
      <c r="I101" s="634"/>
      <c r="J101" s="634"/>
      <c r="K101" s="634"/>
      <c r="L101" s="634"/>
      <c r="M101" s="635"/>
      <c r="N101" s="765">
        <f>SUM(N95:P100)</f>
        <v>49.05</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176.38</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17.64</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29.4</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0.46</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7.12</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3.71</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1.24</v>
      </c>
      <c r="O115" s="769"/>
      <c r="P115" s="770"/>
    </row>
    <row r="116" spans="1:16" ht="15.6">
      <c r="A116" s="633" t="s">
        <v>480</v>
      </c>
      <c r="B116" s="634"/>
      <c r="C116" s="634"/>
      <c r="D116" s="634"/>
      <c r="E116" s="634"/>
      <c r="F116" s="634"/>
      <c r="G116" s="634"/>
      <c r="H116" s="634"/>
      <c r="I116" s="634"/>
      <c r="J116" s="634"/>
      <c r="K116" s="634"/>
      <c r="L116" s="634"/>
      <c r="M116" s="635"/>
      <c r="N116" s="765">
        <f>SUM(N109:P115)</f>
        <v>235.95</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5.7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235.95</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235.95</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CÁLCULO'!O50</f>
        <v>264.63</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CÁLCULO'!P50</f>
        <v>1.91</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266.54000000000002</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189.16</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397.23</v>
      </c>
      <c r="O142" s="684"/>
      <c r="P142" s="685"/>
    </row>
    <row r="143" spans="1:16" ht="16.5" customHeight="1">
      <c r="A143" s="7" t="s">
        <v>30</v>
      </c>
      <c r="B143" s="633" t="s">
        <v>552</v>
      </c>
      <c r="C143" s="634"/>
      <c r="D143" s="634"/>
      <c r="E143" s="634"/>
      <c r="F143" s="634"/>
      <c r="G143" s="634"/>
      <c r="H143" s="634"/>
      <c r="I143" s="634"/>
      <c r="J143" s="634"/>
      <c r="K143" s="635"/>
      <c r="L143" s="694">
        <f>SUM(L144:M146)</f>
        <v>0.13250000000000001</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465.91</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CÁLCULO'!C71</f>
        <v>0.04</v>
      </c>
      <c r="M146" s="626"/>
      <c r="N146" s="683">
        <f>(($N$158+$N$141+$N$142)/(100%-$L$143))*L146</f>
        <v>201.48</v>
      </c>
      <c r="O146" s="684"/>
      <c r="P146" s="685"/>
    </row>
    <row r="147" spans="1:17" ht="15.6">
      <c r="A147" s="633" t="s">
        <v>480</v>
      </c>
      <c r="B147" s="634"/>
      <c r="C147" s="634"/>
      <c r="D147" s="634"/>
      <c r="E147" s="634"/>
      <c r="F147" s="634"/>
      <c r="G147" s="634"/>
      <c r="H147" s="634"/>
      <c r="I147" s="634"/>
      <c r="J147" s="634"/>
      <c r="K147" s="635"/>
      <c r="L147" s="694">
        <f>SUM(L141:M143)</f>
        <v>0.28249999999999997</v>
      </c>
      <c r="M147" s="620"/>
      <c r="N147" s="765">
        <f>SUM(N141:P146)</f>
        <v>1253.78</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1547.2</v>
      </c>
      <c r="O153" s="769"/>
      <c r="P153" s="770"/>
    </row>
    <row r="154" spans="1:17" ht="15.6">
      <c r="A154" s="7" t="s">
        <v>27</v>
      </c>
      <c r="B154" s="680" t="s">
        <v>561</v>
      </c>
      <c r="C154" s="681"/>
      <c r="D154" s="681"/>
      <c r="E154" s="681"/>
      <c r="F154" s="681"/>
      <c r="G154" s="681"/>
      <c r="H154" s="681"/>
      <c r="I154" s="681"/>
      <c r="J154" s="681"/>
      <c r="K154" s="681"/>
      <c r="L154" s="681"/>
      <c r="M154" s="682"/>
      <c r="N154" s="768">
        <f>N91</f>
        <v>1684.38</v>
      </c>
      <c r="O154" s="769"/>
      <c r="P154" s="770"/>
    </row>
    <row r="155" spans="1:17" ht="15.6">
      <c r="A155" s="7" t="s">
        <v>30</v>
      </c>
      <c r="B155" s="680" t="s">
        <v>562</v>
      </c>
      <c r="C155" s="681"/>
      <c r="D155" s="681"/>
      <c r="E155" s="681"/>
      <c r="F155" s="681"/>
      <c r="G155" s="681"/>
      <c r="H155" s="681"/>
      <c r="I155" s="681"/>
      <c r="J155" s="681"/>
      <c r="K155" s="681"/>
      <c r="L155" s="681"/>
      <c r="M155" s="682"/>
      <c r="N155" s="768">
        <f>N101</f>
        <v>49.05</v>
      </c>
      <c r="O155" s="769"/>
      <c r="P155" s="770"/>
    </row>
    <row r="156" spans="1:17" ht="15.6">
      <c r="A156" s="7" t="s">
        <v>32</v>
      </c>
      <c r="B156" s="680" t="s">
        <v>563</v>
      </c>
      <c r="C156" s="681"/>
      <c r="D156" s="681"/>
      <c r="E156" s="681"/>
      <c r="F156" s="681"/>
      <c r="G156" s="681"/>
      <c r="H156" s="681"/>
      <c r="I156" s="681"/>
      <c r="J156" s="681"/>
      <c r="K156" s="681"/>
      <c r="L156" s="681"/>
      <c r="M156" s="682"/>
      <c r="N156" s="768">
        <f>N129</f>
        <v>235.95</v>
      </c>
      <c r="O156" s="769"/>
      <c r="P156" s="770"/>
    </row>
    <row r="157" spans="1:17" ht="15.6">
      <c r="A157" s="7" t="s">
        <v>56</v>
      </c>
      <c r="B157" s="680" t="s">
        <v>564</v>
      </c>
      <c r="C157" s="681"/>
      <c r="D157" s="681"/>
      <c r="E157" s="681"/>
      <c r="F157" s="681"/>
      <c r="G157" s="681"/>
      <c r="H157" s="681"/>
      <c r="I157" s="681"/>
      <c r="J157" s="681"/>
      <c r="K157" s="681"/>
      <c r="L157" s="681"/>
      <c r="M157" s="682"/>
      <c r="N157" s="768">
        <f>N136</f>
        <v>266.54000000000002</v>
      </c>
      <c r="O157" s="769"/>
      <c r="P157" s="770"/>
    </row>
    <row r="158" spans="1:17" ht="15.6">
      <c r="A158" s="633" t="s">
        <v>565</v>
      </c>
      <c r="B158" s="634"/>
      <c r="C158" s="634"/>
      <c r="D158" s="634"/>
      <c r="E158" s="634"/>
      <c r="F158" s="634"/>
      <c r="G158" s="634"/>
      <c r="H158" s="634"/>
      <c r="I158" s="634"/>
      <c r="J158" s="634"/>
      <c r="K158" s="634"/>
      <c r="L158" s="634"/>
      <c r="M158" s="635"/>
      <c r="N158" s="765">
        <f>SUM(N153:P157)</f>
        <v>3783.12</v>
      </c>
      <c r="O158" s="766"/>
      <c r="P158" s="767"/>
    </row>
    <row r="159" spans="1:17" ht="15.6">
      <c r="A159" s="7" t="s">
        <v>58</v>
      </c>
      <c r="B159" s="680" t="s">
        <v>566</v>
      </c>
      <c r="C159" s="681"/>
      <c r="D159" s="681"/>
      <c r="E159" s="681"/>
      <c r="F159" s="681"/>
      <c r="G159" s="681"/>
      <c r="H159" s="681"/>
      <c r="I159" s="681"/>
      <c r="J159" s="681"/>
      <c r="K159" s="681"/>
      <c r="L159" s="681"/>
      <c r="M159" s="682"/>
      <c r="N159" s="768">
        <f>N147</f>
        <v>1253.78</v>
      </c>
      <c r="O159" s="769"/>
      <c r="P159" s="770"/>
    </row>
    <row r="160" spans="1:17" ht="15.6">
      <c r="A160" s="633" t="s">
        <v>567</v>
      </c>
      <c r="B160" s="634"/>
      <c r="C160" s="634"/>
      <c r="D160" s="634"/>
      <c r="E160" s="634"/>
      <c r="F160" s="634"/>
      <c r="G160" s="634"/>
      <c r="H160" s="634"/>
      <c r="I160" s="634"/>
      <c r="J160" s="634"/>
      <c r="K160" s="634"/>
      <c r="L160" s="634"/>
      <c r="M160" s="635"/>
      <c r="N160" s="765">
        <f>SUM(N158:P159)</f>
        <v>5036.8999999999996</v>
      </c>
      <c r="O160" s="766"/>
      <c r="P160" s="767"/>
    </row>
    <row r="161" spans="1:16" ht="15.6">
      <c r="A161" s="633" t="s">
        <v>568</v>
      </c>
      <c r="B161" s="634"/>
      <c r="C161" s="634"/>
      <c r="D161" s="634"/>
      <c r="E161" s="634"/>
      <c r="F161" s="634"/>
      <c r="G161" s="634"/>
      <c r="H161" s="634"/>
      <c r="I161" s="634"/>
      <c r="J161" s="634"/>
      <c r="K161" s="634"/>
      <c r="L161" s="634"/>
      <c r="M161" s="635"/>
      <c r="N161" s="665">
        <f>N160*N20</f>
        <v>45332.1</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20" zoomScale="85" zoomScaleNormal="85" workbookViewId="0">
      <selection activeCell="N20" sqref="N20:P20"/>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CÁLCULO'!B51</f>
        <v>São Mateus/ES</v>
      </c>
      <c r="O12" s="740"/>
      <c r="P12" s="741"/>
    </row>
    <row r="13" spans="1:16" ht="15.6">
      <c r="A13" s="7" t="s">
        <v>30</v>
      </c>
      <c r="B13" s="680" t="s">
        <v>455</v>
      </c>
      <c r="C13" s="681"/>
      <c r="D13" s="681"/>
      <c r="E13" s="681"/>
      <c r="F13" s="681"/>
      <c r="G13" s="681"/>
      <c r="H13" s="681"/>
      <c r="I13" s="681"/>
      <c r="J13" s="681"/>
      <c r="K13" s="681"/>
      <c r="L13" s="681"/>
      <c r="M13" s="682"/>
      <c r="N13" s="739" t="str">
        <f>'BASE DE CÁLCULO'!D51</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CÁLCULO'!C51</f>
        <v>Auxliar de Cozinha II</v>
      </c>
      <c r="B20" s="625"/>
      <c r="C20" s="625"/>
      <c r="D20" s="626"/>
      <c r="E20" s="751" t="s">
        <v>459</v>
      </c>
      <c r="F20" s="752"/>
      <c r="G20" s="752"/>
      <c r="H20" s="752"/>
      <c r="I20" s="752"/>
      <c r="J20" s="752"/>
      <c r="K20" s="752"/>
      <c r="L20" s="752"/>
      <c r="M20" s="753"/>
      <c r="N20" s="789">
        <f>'BASE DE CÁLCULO'!F51</f>
        <v>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Auxliar de Cozinha II</v>
      </c>
      <c r="O30" s="740"/>
      <c r="P30" s="741"/>
    </row>
    <row r="31" spans="1:16" ht="15.6">
      <c r="A31" s="7">
        <v>2</v>
      </c>
      <c r="B31" s="680" t="s">
        <v>466</v>
      </c>
      <c r="C31" s="681"/>
      <c r="D31" s="681"/>
      <c r="E31" s="681"/>
      <c r="F31" s="681"/>
      <c r="G31" s="681"/>
      <c r="H31" s="681"/>
      <c r="I31" s="681"/>
      <c r="J31" s="681"/>
      <c r="K31" s="681"/>
      <c r="L31" s="681"/>
      <c r="M31" s="682"/>
      <c r="N31" s="781" t="s">
        <v>570</v>
      </c>
      <c r="O31" s="779"/>
      <c r="P31" s="780"/>
    </row>
    <row r="32" spans="1:16" ht="15.6">
      <c r="A32" s="7">
        <v>3</v>
      </c>
      <c r="B32" s="680" t="s">
        <v>468</v>
      </c>
      <c r="C32" s="681"/>
      <c r="D32" s="681"/>
      <c r="E32" s="681"/>
      <c r="F32" s="681"/>
      <c r="G32" s="681"/>
      <c r="H32" s="681"/>
      <c r="I32" s="681"/>
      <c r="J32" s="681"/>
      <c r="K32" s="681"/>
      <c r="L32" s="681"/>
      <c r="M32" s="682"/>
      <c r="N32" s="772">
        <f>'BASE DE CÁLCULO'!G51</f>
        <v>1435.28</v>
      </c>
      <c r="O32" s="773"/>
      <c r="P32" s="774"/>
    </row>
    <row r="33" spans="1:16" ht="15.6">
      <c r="A33" s="7">
        <v>4</v>
      </c>
      <c r="B33" s="680" t="s">
        <v>469</v>
      </c>
      <c r="C33" s="681"/>
      <c r="D33" s="681"/>
      <c r="E33" s="681"/>
      <c r="F33" s="681"/>
      <c r="G33" s="681"/>
      <c r="H33" s="681"/>
      <c r="I33" s="681"/>
      <c r="J33" s="681"/>
      <c r="K33" s="681"/>
      <c r="L33" s="681"/>
      <c r="M33" s="682"/>
      <c r="N33" s="782" t="str">
        <f>'BASE DE CÁLCULO'!E51</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1435.28</v>
      </c>
      <c r="O39" s="773"/>
      <c r="P39" s="774"/>
    </row>
    <row r="40" spans="1:16" ht="15.6">
      <c r="A40" s="7" t="s">
        <v>27</v>
      </c>
      <c r="B40" s="680" t="s">
        <v>474</v>
      </c>
      <c r="C40" s="681"/>
      <c r="D40" s="681"/>
      <c r="E40" s="681"/>
      <c r="F40" s="681"/>
      <c r="G40" s="681"/>
      <c r="H40" s="681"/>
      <c r="I40" s="681"/>
      <c r="J40" s="681"/>
      <c r="K40" s="681"/>
      <c r="L40" s="681"/>
      <c r="M40" s="682"/>
      <c r="N40" s="772" t="str">
        <f>'BASE DE CÁLCULO'!I51</f>
        <v>-</v>
      </c>
      <c r="O40" s="773"/>
      <c r="P40" s="774"/>
    </row>
    <row r="41" spans="1:16" ht="15.6">
      <c r="A41" s="7" t="s">
        <v>30</v>
      </c>
      <c r="B41" s="680" t="s">
        <v>475</v>
      </c>
      <c r="C41" s="681"/>
      <c r="D41" s="681"/>
      <c r="E41" s="681"/>
      <c r="F41" s="681"/>
      <c r="G41" s="681"/>
      <c r="H41" s="681"/>
      <c r="I41" s="681"/>
      <c r="J41" s="681"/>
      <c r="K41" s="681"/>
      <c r="L41" s="681"/>
      <c r="M41" s="682"/>
      <c r="N41" s="772">
        <f>'BASE DE CÁLCULO'!J51</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1677.68</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191.26</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255.01</v>
      </c>
      <c r="O53" s="773"/>
      <c r="P53" s="774"/>
    </row>
    <row r="54" spans="1:16" ht="15.6">
      <c r="A54" s="633" t="s">
        <v>480</v>
      </c>
      <c r="B54" s="634"/>
      <c r="C54" s="634"/>
      <c r="D54" s="634"/>
      <c r="E54" s="634"/>
      <c r="F54" s="634"/>
      <c r="G54" s="634"/>
      <c r="H54" s="634"/>
      <c r="I54" s="634"/>
      <c r="J54" s="634"/>
      <c r="K54" s="634"/>
      <c r="L54" s="634"/>
      <c r="M54" s="635"/>
      <c r="N54" s="775">
        <f>SUM(N52:P53)</f>
        <v>446.27</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335.54</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41.94</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50.33</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25.17</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16.78</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10.07</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3.36</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134.21</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617.4</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CÁLCULO'!K51</f>
        <v>106.04</v>
      </c>
      <c r="O75" s="773"/>
      <c r="P75" s="774"/>
    </row>
    <row r="76" spans="1:16" ht="16.5" customHeight="1">
      <c r="A76" s="7" t="s">
        <v>27</v>
      </c>
      <c r="B76" s="680" t="s">
        <v>331</v>
      </c>
      <c r="C76" s="681"/>
      <c r="D76" s="681"/>
      <c r="E76" s="681"/>
      <c r="F76" s="681"/>
      <c r="G76" s="681"/>
      <c r="H76" s="681"/>
      <c r="I76" s="681"/>
      <c r="J76" s="681"/>
      <c r="K76" s="681"/>
      <c r="L76" s="681"/>
      <c r="M76" s="682"/>
      <c r="N76" s="772">
        <f>'BASE DE CÁLCULO'!L51</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CÁLCULO'!N51</f>
        <v>230.26</v>
      </c>
      <c r="O77" s="773"/>
      <c r="P77" s="774"/>
    </row>
    <row r="78" spans="1:16" ht="15.6">
      <c r="A78" s="7" t="s">
        <v>32</v>
      </c>
      <c r="B78" s="680" t="s">
        <v>509</v>
      </c>
      <c r="C78" s="681"/>
      <c r="D78" s="681"/>
      <c r="E78" s="681"/>
      <c r="F78" s="681"/>
      <c r="G78" s="681"/>
      <c r="H78" s="681"/>
      <c r="I78" s="681"/>
      <c r="J78" s="681"/>
      <c r="K78" s="681"/>
      <c r="L78" s="681"/>
      <c r="M78" s="682"/>
      <c r="N78" s="772">
        <f>'BASE DE CÁLCULO'!M51</f>
        <v>0</v>
      </c>
      <c r="O78" s="773"/>
      <c r="P78" s="774"/>
    </row>
    <row r="79" spans="1:16" ht="15.6">
      <c r="A79" s="7" t="s">
        <v>56</v>
      </c>
      <c r="B79" s="680" t="s">
        <v>510</v>
      </c>
      <c r="C79" s="681"/>
      <c r="D79" s="681"/>
      <c r="E79" s="681"/>
      <c r="F79" s="681"/>
      <c r="G79" s="681"/>
      <c r="H79" s="681"/>
      <c r="I79" s="681"/>
      <c r="J79" s="681"/>
      <c r="K79" s="681"/>
      <c r="L79" s="681"/>
      <c r="M79" s="682"/>
      <c r="N79" s="772">
        <f>'BASE DE CÁLCULO'!Q51</f>
        <v>25.3</v>
      </c>
      <c r="O79" s="773"/>
      <c r="P79" s="774"/>
    </row>
    <row r="80" spans="1:16" ht="15.6">
      <c r="A80" s="7" t="s">
        <v>58</v>
      </c>
      <c r="B80" s="680" t="s">
        <v>511</v>
      </c>
      <c r="C80" s="681"/>
      <c r="D80" s="681"/>
      <c r="E80" s="681"/>
      <c r="F80" s="681"/>
      <c r="G80" s="681"/>
      <c r="H80" s="681"/>
      <c r="I80" s="681"/>
      <c r="J80" s="681"/>
      <c r="K80" s="681"/>
      <c r="L80" s="681"/>
      <c r="M80" s="682"/>
      <c r="N80" s="714">
        <f>'BASE DE CÁLCULO'!S51</f>
        <v>170.79</v>
      </c>
      <c r="O80" s="715"/>
      <c r="P80" s="716"/>
    </row>
    <row r="81" spans="1:16" ht="16.2" customHeight="1">
      <c r="A81" s="7" t="s">
        <v>60</v>
      </c>
      <c r="B81" s="680" t="s">
        <v>334</v>
      </c>
      <c r="C81" s="681"/>
      <c r="D81" s="681"/>
      <c r="E81" s="681"/>
      <c r="F81" s="681"/>
      <c r="G81" s="681"/>
      <c r="H81" s="681"/>
      <c r="I81" s="681"/>
      <c r="J81" s="681"/>
      <c r="K81" s="681"/>
      <c r="L81" s="681"/>
      <c r="M81" s="682"/>
      <c r="N81" s="772">
        <f>'BASE DE CÁLCULO'!R51</f>
        <v>6.43</v>
      </c>
      <c r="O81" s="773"/>
      <c r="P81" s="774"/>
    </row>
    <row r="82" spans="1:16" ht="15.6">
      <c r="A82" s="633" t="s">
        <v>480</v>
      </c>
      <c r="B82" s="634"/>
      <c r="C82" s="634"/>
      <c r="D82" s="634"/>
      <c r="E82" s="634"/>
      <c r="F82" s="634"/>
      <c r="G82" s="634"/>
      <c r="H82" s="634"/>
      <c r="I82" s="634"/>
      <c r="J82" s="634"/>
      <c r="K82" s="634"/>
      <c r="L82" s="634"/>
      <c r="M82" s="635"/>
      <c r="N82" s="775">
        <f>SUM(N75:P81)</f>
        <v>696.93</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446.27</v>
      </c>
      <c r="O88" s="769"/>
      <c r="P88" s="770"/>
    </row>
    <row r="89" spans="1:16" ht="15.6">
      <c r="A89" s="11" t="s">
        <v>491</v>
      </c>
      <c r="B89" s="699" t="s">
        <v>518</v>
      </c>
      <c r="C89" s="700"/>
      <c r="D89" s="700"/>
      <c r="E89" s="700"/>
      <c r="F89" s="700"/>
      <c r="G89" s="700"/>
      <c r="H89" s="700"/>
      <c r="I89" s="700"/>
      <c r="J89" s="700"/>
      <c r="K89" s="700"/>
      <c r="L89" s="700"/>
      <c r="M89" s="701"/>
      <c r="N89" s="769">
        <f>N68</f>
        <v>617.4</v>
      </c>
      <c r="O89" s="769"/>
      <c r="P89" s="770"/>
    </row>
    <row r="90" spans="1:16" ht="15.6">
      <c r="A90" s="9" t="s">
        <v>506</v>
      </c>
      <c r="B90" s="699" t="s">
        <v>519</v>
      </c>
      <c r="C90" s="700"/>
      <c r="D90" s="700"/>
      <c r="E90" s="700"/>
      <c r="F90" s="700"/>
      <c r="G90" s="700"/>
      <c r="H90" s="700"/>
      <c r="I90" s="700"/>
      <c r="J90" s="700"/>
      <c r="K90" s="700"/>
      <c r="L90" s="700"/>
      <c r="M90" s="701"/>
      <c r="N90" s="769">
        <f>N82</f>
        <v>696.93</v>
      </c>
      <c r="O90" s="769"/>
      <c r="P90" s="770"/>
    </row>
    <row r="91" spans="1:16" ht="15.6">
      <c r="A91" s="633" t="s">
        <v>480</v>
      </c>
      <c r="B91" s="702"/>
      <c r="C91" s="702"/>
      <c r="D91" s="702"/>
      <c r="E91" s="702"/>
      <c r="F91" s="702"/>
      <c r="G91" s="702"/>
      <c r="H91" s="702"/>
      <c r="I91" s="702"/>
      <c r="J91" s="702"/>
      <c r="K91" s="702"/>
      <c r="L91" s="702"/>
      <c r="M91" s="703"/>
      <c r="N91" s="765">
        <f>SUM(N88:P90)</f>
        <v>1760.6</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7.05</v>
      </c>
      <c r="O95" s="769"/>
      <c r="P95" s="770"/>
    </row>
    <row r="96" spans="1:16" ht="15.6">
      <c r="A96" s="7" t="s">
        <v>27</v>
      </c>
      <c r="B96" s="680" t="s">
        <v>522</v>
      </c>
      <c r="C96" s="681"/>
      <c r="D96" s="681"/>
      <c r="E96" s="681"/>
      <c r="F96" s="681"/>
      <c r="G96" s="681"/>
      <c r="H96" s="681"/>
      <c r="I96" s="681"/>
      <c r="J96" s="681"/>
      <c r="K96" s="681"/>
      <c r="L96" s="681"/>
      <c r="M96" s="682"/>
      <c r="N96" s="768">
        <f>N46*'BASE DE CÁLCULO'!C89</f>
        <v>0.5</v>
      </c>
      <c r="O96" s="769"/>
      <c r="P96" s="770"/>
    </row>
    <row r="97" spans="1:16" ht="15.6">
      <c r="A97" s="7" t="s">
        <v>30</v>
      </c>
      <c r="B97" s="680" t="s">
        <v>523</v>
      </c>
      <c r="C97" s="681"/>
      <c r="D97" s="681"/>
      <c r="E97" s="681"/>
      <c r="F97" s="681"/>
      <c r="G97" s="681"/>
      <c r="H97" s="681"/>
      <c r="I97" s="681"/>
      <c r="J97" s="681"/>
      <c r="K97" s="681"/>
      <c r="L97" s="681"/>
      <c r="M97" s="682"/>
      <c r="N97" s="768">
        <f>N46*'BASE DE CÁLCULO'!C90</f>
        <v>0.17</v>
      </c>
      <c r="O97" s="769"/>
      <c r="P97" s="770"/>
    </row>
    <row r="98" spans="1:16" ht="15.6">
      <c r="A98" s="7" t="s">
        <v>32</v>
      </c>
      <c r="B98" s="680" t="s">
        <v>524</v>
      </c>
      <c r="C98" s="681"/>
      <c r="D98" s="681"/>
      <c r="E98" s="681"/>
      <c r="F98" s="681"/>
      <c r="G98" s="681"/>
      <c r="H98" s="681"/>
      <c r="I98" s="681"/>
      <c r="J98" s="681"/>
      <c r="K98" s="681"/>
      <c r="L98" s="681"/>
      <c r="M98" s="682"/>
      <c r="N98" s="768">
        <f>N46*'BASE DE CÁLCULO'!C91</f>
        <v>32.549999999999997</v>
      </c>
      <c r="O98" s="769"/>
      <c r="P98" s="770"/>
    </row>
    <row r="99" spans="1:16" ht="15.6">
      <c r="A99" s="7" t="s">
        <v>56</v>
      </c>
      <c r="B99" s="680" t="s">
        <v>525</v>
      </c>
      <c r="C99" s="681"/>
      <c r="D99" s="681"/>
      <c r="E99" s="681"/>
      <c r="F99" s="681"/>
      <c r="G99" s="681"/>
      <c r="H99" s="681"/>
      <c r="I99" s="681"/>
      <c r="J99" s="681"/>
      <c r="K99" s="681"/>
      <c r="L99" s="681"/>
      <c r="M99" s="682"/>
      <c r="N99" s="768">
        <f>N46*'BASE DE CÁLCULO'!C92</f>
        <v>11.91</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1.01</v>
      </c>
      <c r="O100" s="684"/>
      <c r="P100" s="685"/>
    </row>
    <row r="101" spans="1:16" ht="15.6">
      <c r="A101" s="633" t="s">
        <v>480</v>
      </c>
      <c r="B101" s="634"/>
      <c r="C101" s="634"/>
      <c r="D101" s="634"/>
      <c r="E101" s="634"/>
      <c r="F101" s="634"/>
      <c r="G101" s="634"/>
      <c r="H101" s="634"/>
      <c r="I101" s="634"/>
      <c r="J101" s="634"/>
      <c r="K101" s="634"/>
      <c r="L101" s="634"/>
      <c r="M101" s="635"/>
      <c r="N101" s="765">
        <f>SUM(N95:P100)</f>
        <v>53.19</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191.26</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19.13</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31.88</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7.72</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4.03</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1.34</v>
      </c>
      <c r="O115" s="769"/>
      <c r="P115" s="770"/>
    </row>
    <row r="116" spans="1:16" ht="15.6">
      <c r="A116" s="633" t="s">
        <v>480</v>
      </c>
      <c r="B116" s="634"/>
      <c r="C116" s="634"/>
      <c r="D116" s="634"/>
      <c r="E116" s="634"/>
      <c r="F116" s="634"/>
      <c r="G116" s="634"/>
      <c r="H116" s="634"/>
      <c r="I116" s="634"/>
      <c r="J116" s="634"/>
      <c r="K116" s="634"/>
      <c r="L116" s="634"/>
      <c r="M116" s="635"/>
      <c r="N116" s="765">
        <f>SUM(N109:P115)</f>
        <v>255.86</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8"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255.86</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255.86</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CÁLCULO'!O51</f>
        <v>272.33</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CÁLCULO'!P51</f>
        <v>1.91</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274.24</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201.08</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422.27</v>
      </c>
      <c r="O142" s="684"/>
      <c r="P142" s="685"/>
    </row>
    <row r="143" spans="1:16" ht="16.5" customHeight="1">
      <c r="A143" s="7" t="s">
        <v>30</v>
      </c>
      <c r="B143" s="633" t="s">
        <v>552</v>
      </c>
      <c r="C143" s="634"/>
      <c r="D143" s="634"/>
      <c r="E143" s="634"/>
      <c r="F143" s="634"/>
      <c r="G143" s="634"/>
      <c r="H143" s="634"/>
      <c r="I143" s="634"/>
      <c r="J143" s="634"/>
      <c r="K143" s="635"/>
      <c r="L143" s="694">
        <f>SUM(L144:M146)</f>
        <v>0.13250000000000001</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495.28</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CÁLCULO'!C71</f>
        <v>0.04</v>
      </c>
      <c r="M146" s="626"/>
      <c r="N146" s="683">
        <f>(($N$158+$N$141+$N$142)/(100%-$L$143))*L146</f>
        <v>214.17</v>
      </c>
      <c r="O146" s="684"/>
      <c r="P146" s="685"/>
    </row>
    <row r="147" spans="1:17" ht="15.6">
      <c r="A147" s="633" t="s">
        <v>480</v>
      </c>
      <c r="B147" s="634"/>
      <c r="C147" s="634"/>
      <c r="D147" s="634"/>
      <c r="E147" s="634"/>
      <c r="F147" s="634"/>
      <c r="G147" s="634"/>
      <c r="H147" s="634"/>
      <c r="I147" s="634"/>
      <c r="J147" s="634"/>
      <c r="K147" s="635"/>
      <c r="L147" s="694">
        <f>SUM(L141:M143)</f>
        <v>0.28249999999999997</v>
      </c>
      <c r="M147" s="620"/>
      <c r="N147" s="765">
        <f>SUM(N141:P146)</f>
        <v>1332.8</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1677.68</v>
      </c>
      <c r="O153" s="769"/>
      <c r="P153" s="770"/>
    </row>
    <row r="154" spans="1:17" ht="15.6">
      <c r="A154" s="7" t="s">
        <v>27</v>
      </c>
      <c r="B154" s="680" t="s">
        <v>561</v>
      </c>
      <c r="C154" s="681"/>
      <c r="D154" s="681"/>
      <c r="E154" s="681"/>
      <c r="F154" s="681"/>
      <c r="G154" s="681"/>
      <c r="H154" s="681"/>
      <c r="I154" s="681"/>
      <c r="J154" s="681"/>
      <c r="K154" s="681"/>
      <c r="L154" s="681"/>
      <c r="M154" s="682"/>
      <c r="N154" s="768">
        <f>N91</f>
        <v>1760.6</v>
      </c>
      <c r="O154" s="769"/>
      <c r="P154" s="770"/>
    </row>
    <row r="155" spans="1:17" ht="15.6">
      <c r="A155" s="7" t="s">
        <v>30</v>
      </c>
      <c r="B155" s="680" t="s">
        <v>562</v>
      </c>
      <c r="C155" s="681"/>
      <c r="D155" s="681"/>
      <c r="E155" s="681"/>
      <c r="F155" s="681"/>
      <c r="G155" s="681"/>
      <c r="H155" s="681"/>
      <c r="I155" s="681"/>
      <c r="J155" s="681"/>
      <c r="K155" s="681"/>
      <c r="L155" s="681"/>
      <c r="M155" s="682"/>
      <c r="N155" s="768">
        <f>N101</f>
        <v>53.19</v>
      </c>
      <c r="O155" s="769"/>
      <c r="P155" s="770"/>
    </row>
    <row r="156" spans="1:17" ht="15.6">
      <c r="A156" s="7" t="s">
        <v>32</v>
      </c>
      <c r="B156" s="680" t="s">
        <v>563</v>
      </c>
      <c r="C156" s="681"/>
      <c r="D156" s="681"/>
      <c r="E156" s="681"/>
      <c r="F156" s="681"/>
      <c r="G156" s="681"/>
      <c r="H156" s="681"/>
      <c r="I156" s="681"/>
      <c r="J156" s="681"/>
      <c r="K156" s="681"/>
      <c r="L156" s="681"/>
      <c r="M156" s="682"/>
      <c r="N156" s="768">
        <f>N129</f>
        <v>255.86</v>
      </c>
      <c r="O156" s="769"/>
      <c r="P156" s="770"/>
    </row>
    <row r="157" spans="1:17" ht="15.6">
      <c r="A157" s="7" t="s">
        <v>56</v>
      </c>
      <c r="B157" s="680" t="s">
        <v>564</v>
      </c>
      <c r="C157" s="681"/>
      <c r="D157" s="681"/>
      <c r="E157" s="681"/>
      <c r="F157" s="681"/>
      <c r="G157" s="681"/>
      <c r="H157" s="681"/>
      <c r="I157" s="681"/>
      <c r="J157" s="681"/>
      <c r="K157" s="681"/>
      <c r="L157" s="681"/>
      <c r="M157" s="682"/>
      <c r="N157" s="768">
        <f>N136</f>
        <v>274.24</v>
      </c>
      <c r="O157" s="769"/>
      <c r="P157" s="770"/>
    </row>
    <row r="158" spans="1:17" ht="15.6">
      <c r="A158" s="633" t="s">
        <v>565</v>
      </c>
      <c r="B158" s="634"/>
      <c r="C158" s="634"/>
      <c r="D158" s="634"/>
      <c r="E158" s="634"/>
      <c r="F158" s="634"/>
      <c r="G158" s="634"/>
      <c r="H158" s="634"/>
      <c r="I158" s="634"/>
      <c r="J158" s="634"/>
      <c r="K158" s="634"/>
      <c r="L158" s="634"/>
      <c r="M158" s="635"/>
      <c r="N158" s="765">
        <f>SUM(N153:P157)</f>
        <v>4021.57</v>
      </c>
      <c r="O158" s="766"/>
      <c r="P158" s="767"/>
    </row>
    <row r="159" spans="1:17" ht="15.6">
      <c r="A159" s="7" t="s">
        <v>58</v>
      </c>
      <c r="B159" s="680" t="s">
        <v>566</v>
      </c>
      <c r="C159" s="681"/>
      <c r="D159" s="681"/>
      <c r="E159" s="681"/>
      <c r="F159" s="681"/>
      <c r="G159" s="681"/>
      <c r="H159" s="681"/>
      <c r="I159" s="681"/>
      <c r="J159" s="681"/>
      <c r="K159" s="681"/>
      <c r="L159" s="681"/>
      <c r="M159" s="682"/>
      <c r="N159" s="768">
        <f>N147</f>
        <v>1332.8</v>
      </c>
      <c r="O159" s="769"/>
      <c r="P159" s="770"/>
    </row>
    <row r="160" spans="1:17" ht="15.6">
      <c r="A160" s="633" t="s">
        <v>567</v>
      </c>
      <c r="B160" s="634"/>
      <c r="C160" s="634"/>
      <c r="D160" s="634"/>
      <c r="E160" s="634"/>
      <c r="F160" s="634"/>
      <c r="G160" s="634"/>
      <c r="H160" s="634"/>
      <c r="I160" s="634"/>
      <c r="J160" s="634"/>
      <c r="K160" s="634"/>
      <c r="L160" s="634"/>
      <c r="M160" s="635"/>
      <c r="N160" s="765">
        <f>SUM(N158:P159)</f>
        <v>5354.37</v>
      </c>
      <c r="O160" s="766"/>
      <c r="P160" s="767"/>
    </row>
    <row r="161" spans="1:16" ht="15.6">
      <c r="A161" s="633" t="s">
        <v>568</v>
      </c>
      <c r="B161" s="634"/>
      <c r="C161" s="634"/>
      <c r="D161" s="634"/>
      <c r="E161" s="634"/>
      <c r="F161" s="634"/>
      <c r="G161" s="634"/>
      <c r="H161" s="634"/>
      <c r="I161" s="634"/>
      <c r="J161" s="634"/>
      <c r="K161" s="634"/>
      <c r="L161" s="634"/>
      <c r="M161" s="635"/>
      <c r="N161" s="665">
        <f>N160*N20</f>
        <v>10708.74</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116" zoomScale="85" zoomScaleNormal="85" workbookViewId="0">
      <selection activeCell="S159" sqref="S159"/>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CÁLCULO'!B52</f>
        <v>São Mateus/ES</v>
      </c>
      <c r="O12" s="740"/>
      <c r="P12" s="741"/>
    </row>
    <row r="13" spans="1:16" ht="15.6">
      <c r="A13" s="7" t="s">
        <v>30</v>
      </c>
      <c r="B13" s="680" t="s">
        <v>455</v>
      </c>
      <c r="C13" s="681"/>
      <c r="D13" s="681"/>
      <c r="E13" s="681"/>
      <c r="F13" s="681"/>
      <c r="G13" s="681"/>
      <c r="H13" s="681"/>
      <c r="I13" s="681"/>
      <c r="J13" s="681"/>
      <c r="K13" s="681"/>
      <c r="L13" s="681"/>
      <c r="M13" s="682"/>
      <c r="N13" s="739" t="str">
        <f>'BASE DE CÁLCULO'!D52</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CÁLCULO'!C52</f>
        <v>Auxiliar de Cozinha III</v>
      </c>
      <c r="B20" s="625"/>
      <c r="C20" s="625"/>
      <c r="D20" s="626"/>
      <c r="E20" s="751" t="s">
        <v>459</v>
      </c>
      <c r="F20" s="752"/>
      <c r="G20" s="752"/>
      <c r="H20" s="752"/>
      <c r="I20" s="752"/>
      <c r="J20" s="752"/>
      <c r="K20" s="752"/>
      <c r="L20" s="752"/>
      <c r="M20" s="753"/>
      <c r="N20" s="789">
        <f>'BASE DE CÁLCULO'!F52</f>
        <v>1</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Auxiliar de Cozinha III</v>
      </c>
      <c r="O30" s="740"/>
      <c r="P30" s="741"/>
    </row>
    <row r="31" spans="1:16" ht="15.6">
      <c r="A31" s="7">
        <v>2</v>
      </c>
      <c r="B31" s="680" t="s">
        <v>466</v>
      </c>
      <c r="C31" s="681"/>
      <c r="D31" s="681"/>
      <c r="E31" s="681"/>
      <c r="F31" s="681"/>
      <c r="G31" s="681"/>
      <c r="H31" s="681"/>
      <c r="I31" s="681"/>
      <c r="J31" s="681"/>
      <c r="K31" s="681"/>
      <c r="L31" s="681"/>
      <c r="M31" s="682"/>
      <c r="N31" s="781" t="s">
        <v>570</v>
      </c>
      <c r="O31" s="779"/>
      <c r="P31" s="780"/>
    </row>
    <row r="32" spans="1:16" ht="15.6">
      <c r="A32" s="7">
        <v>3</v>
      </c>
      <c r="B32" s="680" t="s">
        <v>468</v>
      </c>
      <c r="C32" s="681"/>
      <c r="D32" s="681"/>
      <c r="E32" s="681"/>
      <c r="F32" s="681"/>
      <c r="G32" s="681"/>
      <c r="H32" s="681"/>
      <c r="I32" s="681"/>
      <c r="J32" s="681"/>
      <c r="K32" s="681"/>
      <c r="L32" s="681"/>
      <c r="M32" s="682"/>
      <c r="N32" s="772">
        <f>'BASE DE CÁLCULO'!G52</f>
        <v>1370.04</v>
      </c>
      <c r="O32" s="773"/>
      <c r="P32" s="774"/>
    </row>
    <row r="33" spans="1:16" ht="15.6">
      <c r="A33" s="7">
        <v>4</v>
      </c>
      <c r="B33" s="680" t="s">
        <v>469</v>
      </c>
      <c r="C33" s="681"/>
      <c r="D33" s="681"/>
      <c r="E33" s="681"/>
      <c r="F33" s="681"/>
      <c r="G33" s="681"/>
      <c r="H33" s="681"/>
      <c r="I33" s="681"/>
      <c r="J33" s="681"/>
      <c r="K33" s="681"/>
      <c r="L33" s="681"/>
      <c r="M33" s="682"/>
      <c r="N33" s="782" t="str">
        <f>'BASE DE CÁLCULO'!E52</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1370.04</v>
      </c>
      <c r="O39" s="773"/>
      <c r="P39" s="774"/>
    </row>
    <row r="40" spans="1:16" ht="15.6">
      <c r="A40" s="7" t="s">
        <v>27</v>
      </c>
      <c r="B40" s="680" t="s">
        <v>474</v>
      </c>
      <c r="C40" s="681"/>
      <c r="D40" s="681"/>
      <c r="E40" s="681"/>
      <c r="F40" s="681"/>
      <c r="G40" s="681"/>
      <c r="H40" s="681"/>
      <c r="I40" s="681"/>
      <c r="J40" s="681"/>
      <c r="K40" s="681"/>
      <c r="L40" s="681"/>
      <c r="M40" s="682"/>
      <c r="N40" s="772" t="str">
        <f>'BASE DE CÁLCULO'!I52</f>
        <v>-</v>
      </c>
      <c r="O40" s="773"/>
      <c r="P40" s="774"/>
    </row>
    <row r="41" spans="1:16" ht="15.6">
      <c r="A41" s="7" t="s">
        <v>30</v>
      </c>
      <c r="B41" s="680" t="s">
        <v>475</v>
      </c>
      <c r="C41" s="681"/>
      <c r="D41" s="681"/>
      <c r="E41" s="681"/>
      <c r="F41" s="681"/>
      <c r="G41" s="681"/>
      <c r="H41" s="681"/>
      <c r="I41" s="681"/>
      <c r="J41" s="681"/>
      <c r="K41" s="681"/>
      <c r="L41" s="681"/>
      <c r="M41" s="682"/>
      <c r="N41" s="772">
        <f>'BASE DE CÁLCULO'!J52</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1612.44</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183.82</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245.09</v>
      </c>
      <c r="O53" s="773"/>
      <c r="P53" s="774"/>
    </row>
    <row r="54" spans="1:16" ht="15.6">
      <c r="A54" s="633" t="s">
        <v>480</v>
      </c>
      <c r="B54" s="634"/>
      <c r="C54" s="634"/>
      <c r="D54" s="634"/>
      <c r="E54" s="634"/>
      <c r="F54" s="634"/>
      <c r="G54" s="634"/>
      <c r="H54" s="634"/>
      <c r="I54" s="634"/>
      <c r="J54" s="634"/>
      <c r="K54" s="634"/>
      <c r="L54" s="634"/>
      <c r="M54" s="635"/>
      <c r="N54" s="775">
        <f>SUM(N52:P53)</f>
        <v>428.91</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322.49</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40.31</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48.37</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24.19</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16.12</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9.67</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3.22</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129</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593.37</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CÁLCULO'!K52</f>
        <v>108</v>
      </c>
      <c r="O75" s="773"/>
      <c r="P75" s="774"/>
    </row>
    <row r="76" spans="1:16" ht="16.5" customHeight="1">
      <c r="A76" s="7" t="s">
        <v>27</v>
      </c>
      <c r="B76" s="680" t="s">
        <v>331</v>
      </c>
      <c r="C76" s="681"/>
      <c r="D76" s="681"/>
      <c r="E76" s="681"/>
      <c r="F76" s="681"/>
      <c r="G76" s="681"/>
      <c r="H76" s="681"/>
      <c r="I76" s="681"/>
      <c r="J76" s="681"/>
      <c r="K76" s="681"/>
      <c r="L76" s="681"/>
      <c r="M76" s="682"/>
      <c r="N76" s="772">
        <f>'BASE DE CÁLCULO'!L52</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CÁLCULO'!N52</f>
        <v>230.26</v>
      </c>
      <c r="O77" s="773"/>
      <c r="P77" s="774"/>
    </row>
    <row r="78" spans="1:16" ht="15.6">
      <c r="A78" s="7" t="s">
        <v>32</v>
      </c>
      <c r="B78" s="680" t="s">
        <v>509</v>
      </c>
      <c r="C78" s="681"/>
      <c r="D78" s="681"/>
      <c r="E78" s="681"/>
      <c r="F78" s="681"/>
      <c r="G78" s="681"/>
      <c r="H78" s="681"/>
      <c r="I78" s="681"/>
      <c r="J78" s="681"/>
      <c r="K78" s="681"/>
      <c r="L78" s="681"/>
      <c r="M78" s="682"/>
      <c r="N78" s="772">
        <f>'BASE DE CÁLCULO'!M52</f>
        <v>0</v>
      </c>
      <c r="O78" s="773"/>
      <c r="P78" s="774"/>
    </row>
    <row r="79" spans="1:16" ht="15.6">
      <c r="A79" s="7" t="s">
        <v>56</v>
      </c>
      <c r="B79" s="680" t="s">
        <v>510</v>
      </c>
      <c r="C79" s="681"/>
      <c r="D79" s="681"/>
      <c r="E79" s="681"/>
      <c r="F79" s="681"/>
      <c r="G79" s="681"/>
      <c r="H79" s="681"/>
      <c r="I79" s="681"/>
      <c r="J79" s="681"/>
      <c r="K79" s="681"/>
      <c r="L79" s="681"/>
      <c r="M79" s="682"/>
      <c r="N79" s="772">
        <f>'BASE DE CÁLCULO'!Q52</f>
        <v>25.3</v>
      </c>
      <c r="O79" s="773"/>
      <c r="P79" s="774"/>
    </row>
    <row r="80" spans="1:16" ht="15.6">
      <c r="A80" s="7" t="s">
        <v>58</v>
      </c>
      <c r="B80" s="680" t="s">
        <v>511</v>
      </c>
      <c r="C80" s="681"/>
      <c r="D80" s="681"/>
      <c r="E80" s="681"/>
      <c r="F80" s="681"/>
      <c r="G80" s="681"/>
      <c r="H80" s="681"/>
      <c r="I80" s="681"/>
      <c r="J80" s="681"/>
      <c r="K80" s="681"/>
      <c r="L80" s="681"/>
      <c r="M80" s="682"/>
      <c r="N80" s="714">
        <f>'BASE DE CÁLCULO'!S52</f>
        <v>172.1</v>
      </c>
      <c r="O80" s="715"/>
      <c r="P80" s="716"/>
    </row>
    <row r="81" spans="1:16" ht="16.2" customHeight="1">
      <c r="A81" s="7" t="s">
        <v>60</v>
      </c>
      <c r="B81" s="680" t="s">
        <v>334</v>
      </c>
      <c r="C81" s="681"/>
      <c r="D81" s="681"/>
      <c r="E81" s="681"/>
      <c r="F81" s="681"/>
      <c r="G81" s="681"/>
      <c r="H81" s="681"/>
      <c r="I81" s="681"/>
      <c r="J81" s="681"/>
      <c r="K81" s="681"/>
      <c r="L81" s="681"/>
      <c r="M81" s="682"/>
      <c r="N81" s="772">
        <f>'BASE DE CÁLCULO'!R52</f>
        <v>6.43</v>
      </c>
      <c r="O81" s="773"/>
      <c r="P81" s="774"/>
    </row>
    <row r="82" spans="1:16" ht="15.6">
      <c r="A82" s="633" t="s">
        <v>480</v>
      </c>
      <c r="B82" s="634"/>
      <c r="C82" s="634"/>
      <c r="D82" s="634"/>
      <c r="E82" s="634"/>
      <c r="F82" s="634"/>
      <c r="G82" s="634"/>
      <c r="H82" s="634"/>
      <c r="I82" s="634"/>
      <c r="J82" s="634"/>
      <c r="K82" s="634"/>
      <c r="L82" s="634"/>
      <c r="M82" s="635"/>
      <c r="N82" s="775">
        <f>SUM(N75:P81)</f>
        <v>700.2</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428.91</v>
      </c>
      <c r="O88" s="769"/>
      <c r="P88" s="770"/>
    </row>
    <row r="89" spans="1:16" ht="15.6">
      <c r="A89" s="11" t="s">
        <v>491</v>
      </c>
      <c r="B89" s="699" t="s">
        <v>518</v>
      </c>
      <c r="C89" s="700"/>
      <c r="D89" s="700"/>
      <c r="E89" s="700"/>
      <c r="F89" s="700"/>
      <c r="G89" s="700"/>
      <c r="H89" s="700"/>
      <c r="I89" s="700"/>
      <c r="J89" s="700"/>
      <c r="K89" s="700"/>
      <c r="L89" s="700"/>
      <c r="M89" s="701"/>
      <c r="N89" s="769">
        <f>N68</f>
        <v>593.37</v>
      </c>
      <c r="O89" s="769"/>
      <c r="P89" s="770"/>
    </row>
    <row r="90" spans="1:16" ht="15.6">
      <c r="A90" s="9" t="s">
        <v>506</v>
      </c>
      <c r="B90" s="699" t="s">
        <v>519</v>
      </c>
      <c r="C90" s="700"/>
      <c r="D90" s="700"/>
      <c r="E90" s="700"/>
      <c r="F90" s="700"/>
      <c r="G90" s="700"/>
      <c r="H90" s="700"/>
      <c r="I90" s="700"/>
      <c r="J90" s="700"/>
      <c r="K90" s="700"/>
      <c r="L90" s="700"/>
      <c r="M90" s="701"/>
      <c r="N90" s="769">
        <f>N82</f>
        <v>700.2</v>
      </c>
      <c r="O90" s="769"/>
      <c r="P90" s="770"/>
    </row>
    <row r="91" spans="1:16" ht="15.6">
      <c r="A91" s="633" t="s">
        <v>480</v>
      </c>
      <c r="B91" s="702"/>
      <c r="C91" s="702"/>
      <c r="D91" s="702"/>
      <c r="E91" s="702"/>
      <c r="F91" s="702"/>
      <c r="G91" s="702"/>
      <c r="H91" s="702"/>
      <c r="I91" s="702"/>
      <c r="J91" s="702"/>
      <c r="K91" s="702"/>
      <c r="L91" s="702"/>
      <c r="M91" s="703"/>
      <c r="N91" s="765">
        <f>SUM(N88:P90)</f>
        <v>1722.48</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6.77</v>
      </c>
      <c r="O95" s="769"/>
      <c r="P95" s="770"/>
    </row>
    <row r="96" spans="1:16" ht="15.6">
      <c r="A96" s="7" t="s">
        <v>27</v>
      </c>
      <c r="B96" s="680" t="s">
        <v>522</v>
      </c>
      <c r="C96" s="681"/>
      <c r="D96" s="681"/>
      <c r="E96" s="681"/>
      <c r="F96" s="681"/>
      <c r="G96" s="681"/>
      <c r="H96" s="681"/>
      <c r="I96" s="681"/>
      <c r="J96" s="681"/>
      <c r="K96" s="681"/>
      <c r="L96" s="681"/>
      <c r="M96" s="682"/>
      <c r="N96" s="768">
        <f>N46*'BASE DE CÁLCULO'!C89</f>
        <v>0.48</v>
      </c>
      <c r="O96" s="769"/>
      <c r="P96" s="770"/>
    </row>
    <row r="97" spans="1:16" ht="15.6">
      <c r="A97" s="7" t="s">
        <v>30</v>
      </c>
      <c r="B97" s="680" t="s">
        <v>523</v>
      </c>
      <c r="C97" s="681"/>
      <c r="D97" s="681"/>
      <c r="E97" s="681"/>
      <c r="F97" s="681"/>
      <c r="G97" s="681"/>
      <c r="H97" s="681"/>
      <c r="I97" s="681"/>
      <c r="J97" s="681"/>
      <c r="K97" s="681"/>
      <c r="L97" s="681"/>
      <c r="M97" s="682"/>
      <c r="N97" s="768">
        <f>N46*'BASE DE CÁLCULO'!C90</f>
        <v>0.16</v>
      </c>
      <c r="O97" s="769"/>
      <c r="P97" s="770"/>
    </row>
    <row r="98" spans="1:16" ht="15.6">
      <c r="A98" s="7" t="s">
        <v>32</v>
      </c>
      <c r="B98" s="680" t="s">
        <v>524</v>
      </c>
      <c r="C98" s="681"/>
      <c r="D98" s="681"/>
      <c r="E98" s="681"/>
      <c r="F98" s="681"/>
      <c r="G98" s="681"/>
      <c r="H98" s="681"/>
      <c r="I98" s="681"/>
      <c r="J98" s="681"/>
      <c r="K98" s="681"/>
      <c r="L98" s="681"/>
      <c r="M98" s="682"/>
      <c r="N98" s="768">
        <f>N46*'BASE DE CÁLCULO'!C91</f>
        <v>31.28</v>
      </c>
      <c r="O98" s="769"/>
      <c r="P98" s="770"/>
    </row>
    <row r="99" spans="1:16" ht="15.6">
      <c r="A99" s="7" t="s">
        <v>56</v>
      </c>
      <c r="B99" s="680" t="s">
        <v>525</v>
      </c>
      <c r="C99" s="681"/>
      <c r="D99" s="681"/>
      <c r="E99" s="681"/>
      <c r="F99" s="681"/>
      <c r="G99" s="681"/>
      <c r="H99" s="681"/>
      <c r="I99" s="681"/>
      <c r="J99" s="681"/>
      <c r="K99" s="681"/>
      <c r="L99" s="681"/>
      <c r="M99" s="682"/>
      <c r="N99" s="768">
        <f>N46*'BASE DE CÁLCULO'!C92</f>
        <v>11.45</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0.97</v>
      </c>
      <c r="O100" s="684"/>
      <c r="P100" s="685"/>
    </row>
    <row r="101" spans="1:16" ht="15.6">
      <c r="A101" s="633" t="s">
        <v>480</v>
      </c>
      <c r="B101" s="634"/>
      <c r="C101" s="634"/>
      <c r="D101" s="634"/>
      <c r="E101" s="634"/>
      <c r="F101" s="634"/>
      <c r="G101" s="634"/>
      <c r="H101" s="634"/>
      <c r="I101" s="634"/>
      <c r="J101" s="634"/>
      <c r="K101" s="634"/>
      <c r="L101" s="634"/>
      <c r="M101" s="635"/>
      <c r="N101" s="765">
        <f>SUM(N95:P100)</f>
        <v>51.11</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183.82</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18.38</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30.64</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0.48</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7.42</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3.87</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1.29</v>
      </c>
      <c r="O115" s="769"/>
      <c r="P115" s="770"/>
    </row>
    <row r="116" spans="1:16" ht="15.6">
      <c r="A116" s="633" t="s">
        <v>480</v>
      </c>
      <c r="B116" s="634"/>
      <c r="C116" s="634"/>
      <c r="D116" s="634"/>
      <c r="E116" s="634"/>
      <c r="F116" s="634"/>
      <c r="G116" s="634"/>
      <c r="H116" s="634"/>
      <c r="I116" s="634"/>
      <c r="J116" s="634"/>
      <c r="K116" s="634"/>
      <c r="L116" s="634"/>
      <c r="M116" s="635"/>
      <c r="N116" s="765">
        <f>SUM(N109:P115)</f>
        <v>245.9</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5.7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245.9</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245.9</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CÁLCULO'!O52</f>
        <v>140.63999999999999</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CÁLCULO'!P52</f>
        <v>1.91</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142.55000000000001</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188.72</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396.32</v>
      </c>
      <c r="O142" s="684"/>
      <c r="P142" s="685"/>
    </row>
    <row r="143" spans="1:16" ht="16.5" customHeight="1">
      <c r="A143" s="7" t="s">
        <v>30</v>
      </c>
      <c r="B143" s="633" t="s">
        <v>552</v>
      </c>
      <c r="C143" s="634"/>
      <c r="D143" s="634"/>
      <c r="E143" s="634"/>
      <c r="F143" s="634"/>
      <c r="G143" s="634"/>
      <c r="H143" s="634"/>
      <c r="I143" s="634"/>
      <c r="J143" s="634"/>
      <c r="K143" s="635"/>
      <c r="L143" s="694">
        <f>SUM(L144:M146)</f>
        <v>0.13250000000000001</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464.85</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CÁLCULO'!C71</f>
        <v>0.04</v>
      </c>
      <c r="M146" s="626"/>
      <c r="N146" s="683">
        <f>(($N$158+$N$141+$N$142)/(100%-$L$143))*L146</f>
        <v>201.02</v>
      </c>
      <c r="O146" s="684"/>
      <c r="P146" s="685"/>
    </row>
    <row r="147" spans="1:17" ht="15.6">
      <c r="A147" s="633" t="s">
        <v>480</v>
      </c>
      <c r="B147" s="634"/>
      <c r="C147" s="634"/>
      <c r="D147" s="634"/>
      <c r="E147" s="634"/>
      <c r="F147" s="634"/>
      <c r="G147" s="634"/>
      <c r="H147" s="634"/>
      <c r="I147" s="634"/>
      <c r="J147" s="634"/>
      <c r="K147" s="635"/>
      <c r="L147" s="694">
        <f>SUM(L141:M143)</f>
        <v>0.28249999999999997</v>
      </c>
      <c r="M147" s="620"/>
      <c r="N147" s="765">
        <f>SUM(N141:P146)</f>
        <v>1250.9100000000001</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1612.44</v>
      </c>
      <c r="O153" s="769"/>
      <c r="P153" s="770"/>
    </row>
    <row r="154" spans="1:17" ht="15.6">
      <c r="A154" s="7" t="s">
        <v>27</v>
      </c>
      <c r="B154" s="680" t="s">
        <v>561</v>
      </c>
      <c r="C154" s="681"/>
      <c r="D154" s="681"/>
      <c r="E154" s="681"/>
      <c r="F154" s="681"/>
      <c r="G154" s="681"/>
      <c r="H154" s="681"/>
      <c r="I154" s="681"/>
      <c r="J154" s="681"/>
      <c r="K154" s="681"/>
      <c r="L154" s="681"/>
      <c r="M154" s="682"/>
      <c r="N154" s="768">
        <f>N91</f>
        <v>1722.48</v>
      </c>
      <c r="O154" s="769"/>
      <c r="P154" s="770"/>
    </row>
    <row r="155" spans="1:17" ht="15.6">
      <c r="A155" s="7" t="s">
        <v>30</v>
      </c>
      <c r="B155" s="680" t="s">
        <v>562</v>
      </c>
      <c r="C155" s="681"/>
      <c r="D155" s="681"/>
      <c r="E155" s="681"/>
      <c r="F155" s="681"/>
      <c r="G155" s="681"/>
      <c r="H155" s="681"/>
      <c r="I155" s="681"/>
      <c r="J155" s="681"/>
      <c r="K155" s="681"/>
      <c r="L155" s="681"/>
      <c r="M155" s="682"/>
      <c r="N155" s="768">
        <f>N101</f>
        <v>51.11</v>
      </c>
      <c r="O155" s="769"/>
      <c r="P155" s="770"/>
    </row>
    <row r="156" spans="1:17" ht="15.6">
      <c r="A156" s="7" t="s">
        <v>32</v>
      </c>
      <c r="B156" s="680" t="s">
        <v>563</v>
      </c>
      <c r="C156" s="681"/>
      <c r="D156" s="681"/>
      <c r="E156" s="681"/>
      <c r="F156" s="681"/>
      <c r="G156" s="681"/>
      <c r="H156" s="681"/>
      <c r="I156" s="681"/>
      <c r="J156" s="681"/>
      <c r="K156" s="681"/>
      <c r="L156" s="681"/>
      <c r="M156" s="682"/>
      <c r="N156" s="768">
        <f>N129</f>
        <v>245.9</v>
      </c>
      <c r="O156" s="769"/>
      <c r="P156" s="770"/>
    </row>
    <row r="157" spans="1:17" ht="15.6">
      <c r="A157" s="7" t="s">
        <v>56</v>
      </c>
      <c r="B157" s="680" t="s">
        <v>564</v>
      </c>
      <c r="C157" s="681"/>
      <c r="D157" s="681"/>
      <c r="E157" s="681"/>
      <c r="F157" s="681"/>
      <c r="G157" s="681"/>
      <c r="H157" s="681"/>
      <c r="I157" s="681"/>
      <c r="J157" s="681"/>
      <c r="K157" s="681"/>
      <c r="L157" s="681"/>
      <c r="M157" s="682"/>
      <c r="N157" s="768">
        <f>N136</f>
        <v>142.55000000000001</v>
      </c>
      <c r="O157" s="769"/>
      <c r="P157" s="770"/>
    </row>
    <row r="158" spans="1:17" ht="15.6">
      <c r="A158" s="633" t="s">
        <v>565</v>
      </c>
      <c r="B158" s="634"/>
      <c r="C158" s="634"/>
      <c r="D158" s="634"/>
      <c r="E158" s="634"/>
      <c r="F158" s="634"/>
      <c r="G158" s="634"/>
      <c r="H158" s="634"/>
      <c r="I158" s="634"/>
      <c r="J158" s="634"/>
      <c r="K158" s="634"/>
      <c r="L158" s="634"/>
      <c r="M158" s="635"/>
      <c r="N158" s="765">
        <f>SUM(N153:P157)</f>
        <v>3774.48</v>
      </c>
      <c r="O158" s="766"/>
      <c r="P158" s="767"/>
    </row>
    <row r="159" spans="1:17" ht="15.6">
      <c r="A159" s="7" t="s">
        <v>58</v>
      </c>
      <c r="B159" s="680" t="s">
        <v>566</v>
      </c>
      <c r="C159" s="681"/>
      <c r="D159" s="681"/>
      <c r="E159" s="681"/>
      <c r="F159" s="681"/>
      <c r="G159" s="681"/>
      <c r="H159" s="681"/>
      <c r="I159" s="681"/>
      <c r="J159" s="681"/>
      <c r="K159" s="681"/>
      <c r="L159" s="681"/>
      <c r="M159" s="682"/>
      <c r="N159" s="768">
        <f>N147</f>
        <v>1250.9100000000001</v>
      </c>
      <c r="O159" s="769"/>
      <c r="P159" s="770"/>
    </row>
    <row r="160" spans="1:17" ht="15.6">
      <c r="A160" s="633" t="s">
        <v>567</v>
      </c>
      <c r="B160" s="634"/>
      <c r="C160" s="634"/>
      <c r="D160" s="634"/>
      <c r="E160" s="634"/>
      <c r="F160" s="634"/>
      <c r="G160" s="634"/>
      <c r="H160" s="634"/>
      <c r="I160" s="634"/>
      <c r="J160" s="634"/>
      <c r="K160" s="634"/>
      <c r="L160" s="634"/>
      <c r="M160" s="635"/>
      <c r="N160" s="765">
        <f>SUM(N158:P159)</f>
        <v>5025.3900000000003</v>
      </c>
      <c r="O160" s="766"/>
      <c r="P160" s="767"/>
    </row>
    <row r="161" spans="1:16" ht="15.6">
      <c r="A161" s="633" t="s">
        <v>568</v>
      </c>
      <c r="B161" s="634"/>
      <c r="C161" s="634"/>
      <c r="D161" s="634"/>
      <c r="E161" s="634"/>
      <c r="F161" s="634"/>
      <c r="G161" s="634"/>
      <c r="H161" s="634"/>
      <c r="I161" s="634"/>
      <c r="J161" s="634"/>
      <c r="K161" s="634"/>
      <c r="L161" s="634"/>
      <c r="M161" s="635"/>
      <c r="N161" s="665">
        <f>N160*N20</f>
        <v>5025.3900000000003</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20" zoomScale="85" zoomScaleNormal="85" workbookViewId="0">
      <selection activeCell="N20" sqref="N20:P20"/>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CÁLCULO'!B53</f>
        <v>São Mateus/ES</v>
      </c>
      <c r="O12" s="740"/>
      <c r="P12" s="741"/>
    </row>
    <row r="13" spans="1:16" ht="15.6">
      <c r="A13" s="7" t="s">
        <v>30</v>
      </c>
      <c r="B13" s="680" t="s">
        <v>455</v>
      </c>
      <c r="C13" s="681"/>
      <c r="D13" s="681"/>
      <c r="E13" s="681"/>
      <c r="F13" s="681"/>
      <c r="G13" s="681"/>
      <c r="H13" s="681"/>
      <c r="I13" s="681"/>
      <c r="J13" s="681"/>
      <c r="K13" s="681"/>
      <c r="L13" s="681"/>
      <c r="M13" s="682"/>
      <c r="N13" s="739" t="str">
        <f>'BASE DE CÁLCULO'!D53</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CÁLCULO'!C53</f>
        <v>Cozinheiro</v>
      </c>
      <c r="B20" s="625"/>
      <c r="C20" s="625"/>
      <c r="D20" s="626"/>
      <c r="E20" s="751" t="s">
        <v>459</v>
      </c>
      <c r="F20" s="752"/>
      <c r="G20" s="752"/>
      <c r="H20" s="752"/>
      <c r="I20" s="752"/>
      <c r="J20" s="752"/>
      <c r="K20" s="752"/>
      <c r="L20" s="752"/>
      <c r="M20" s="753"/>
      <c r="N20" s="789">
        <f>'BASE DE CÁLCULO'!F53</f>
        <v>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Cozinheiro</v>
      </c>
      <c r="O30" s="740"/>
      <c r="P30" s="741"/>
    </row>
    <row r="31" spans="1:16" ht="15.6">
      <c r="A31" s="7">
        <v>2</v>
      </c>
      <c r="B31" s="680" t="s">
        <v>466</v>
      </c>
      <c r="C31" s="681"/>
      <c r="D31" s="681"/>
      <c r="E31" s="681"/>
      <c r="F31" s="681"/>
      <c r="G31" s="681"/>
      <c r="H31" s="681"/>
      <c r="I31" s="681"/>
      <c r="J31" s="681"/>
      <c r="K31" s="681"/>
      <c r="L31" s="681"/>
      <c r="M31" s="682"/>
      <c r="N31" s="781" t="s">
        <v>571</v>
      </c>
      <c r="O31" s="779"/>
      <c r="P31" s="780"/>
    </row>
    <row r="32" spans="1:16" ht="15.6">
      <c r="A32" s="7">
        <v>3</v>
      </c>
      <c r="B32" s="680" t="s">
        <v>468</v>
      </c>
      <c r="C32" s="681"/>
      <c r="D32" s="681"/>
      <c r="E32" s="681"/>
      <c r="F32" s="681"/>
      <c r="G32" s="681"/>
      <c r="H32" s="681"/>
      <c r="I32" s="681"/>
      <c r="J32" s="681"/>
      <c r="K32" s="681"/>
      <c r="L32" s="681"/>
      <c r="M32" s="682"/>
      <c r="N32" s="772">
        <f>'BASE DE CÁLCULO'!G53</f>
        <v>1882.4</v>
      </c>
      <c r="O32" s="773"/>
      <c r="P32" s="774"/>
    </row>
    <row r="33" spans="1:16" ht="15.6">
      <c r="A33" s="7">
        <v>4</v>
      </c>
      <c r="B33" s="680" t="s">
        <v>469</v>
      </c>
      <c r="C33" s="681"/>
      <c r="D33" s="681"/>
      <c r="E33" s="681"/>
      <c r="F33" s="681"/>
      <c r="G33" s="681"/>
      <c r="H33" s="681"/>
      <c r="I33" s="681"/>
      <c r="J33" s="681"/>
      <c r="K33" s="681"/>
      <c r="L33" s="681"/>
      <c r="M33" s="682"/>
      <c r="N33" s="782" t="str">
        <f>'BASE DE CÁLCULO'!E53</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1882.4</v>
      </c>
      <c r="O39" s="773"/>
      <c r="P39" s="774"/>
    </row>
    <row r="40" spans="1:16" ht="15.6">
      <c r="A40" s="7" t="s">
        <v>27</v>
      </c>
      <c r="B40" s="680" t="s">
        <v>474</v>
      </c>
      <c r="C40" s="681"/>
      <c r="D40" s="681"/>
      <c r="E40" s="681"/>
      <c r="F40" s="681"/>
      <c r="G40" s="681"/>
      <c r="H40" s="681"/>
      <c r="I40" s="681"/>
      <c r="J40" s="681"/>
      <c r="K40" s="681"/>
      <c r="L40" s="681"/>
      <c r="M40" s="682"/>
      <c r="N40" s="772" t="str">
        <f>'BASE DE CÁLCULO'!I53</f>
        <v>-</v>
      </c>
      <c r="O40" s="773"/>
      <c r="P40" s="774"/>
    </row>
    <row r="41" spans="1:16" ht="15.6">
      <c r="A41" s="7" t="s">
        <v>30</v>
      </c>
      <c r="B41" s="680" t="s">
        <v>475</v>
      </c>
      <c r="C41" s="681"/>
      <c r="D41" s="681"/>
      <c r="E41" s="681"/>
      <c r="F41" s="681"/>
      <c r="G41" s="681"/>
      <c r="H41" s="681"/>
      <c r="I41" s="681"/>
      <c r="J41" s="681"/>
      <c r="K41" s="681"/>
      <c r="L41" s="681"/>
      <c r="M41" s="682"/>
      <c r="N41" s="772">
        <f>'BASE DE CÁLCULO'!J53</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2124.8000000000002</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242.23</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322.97000000000003</v>
      </c>
      <c r="O53" s="773"/>
      <c r="P53" s="774"/>
    </row>
    <row r="54" spans="1:16" ht="15.6">
      <c r="A54" s="633" t="s">
        <v>480</v>
      </c>
      <c r="B54" s="634"/>
      <c r="C54" s="634"/>
      <c r="D54" s="634"/>
      <c r="E54" s="634"/>
      <c r="F54" s="634"/>
      <c r="G54" s="634"/>
      <c r="H54" s="634"/>
      <c r="I54" s="634"/>
      <c r="J54" s="634"/>
      <c r="K54" s="634"/>
      <c r="L54" s="634"/>
      <c r="M54" s="635"/>
      <c r="N54" s="775">
        <f>SUM(N52:P53)</f>
        <v>565.20000000000005</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424.96</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53.12</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63.74</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31.87</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21.25</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12.75</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4.25</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169.98</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781.92</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CÁLCULO'!K53</f>
        <v>92.63</v>
      </c>
      <c r="O75" s="773"/>
      <c r="P75" s="774"/>
    </row>
    <row r="76" spans="1:16" ht="16.5" customHeight="1">
      <c r="A76" s="7" t="s">
        <v>27</v>
      </c>
      <c r="B76" s="680" t="s">
        <v>331</v>
      </c>
      <c r="C76" s="681"/>
      <c r="D76" s="681"/>
      <c r="E76" s="681"/>
      <c r="F76" s="681"/>
      <c r="G76" s="681"/>
      <c r="H76" s="681"/>
      <c r="I76" s="681"/>
      <c r="J76" s="681"/>
      <c r="K76" s="681"/>
      <c r="L76" s="681"/>
      <c r="M76" s="682"/>
      <c r="N76" s="772">
        <f>'BASE DE CÁLCULO'!L53</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CÁLCULO'!N53</f>
        <v>230.26</v>
      </c>
      <c r="O77" s="773"/>
      <c r="P77" s="774"/>
    </row>
    <row r="78" spans="1:16" ht="15.6">
      <c r="A78" s="7" t="s">
        <v>32</v>
      </c>
      <c r="B78" s="680" t="s">
        <v>509</v>
      </c>
      <c r="C78" s="681"/>
      <c r="D78" s="681"/>
      <c r="E78" s="681"/>
      <c r="F78" s="681"/>
      <c r="G78" s="681"/>
      <c r="H78" s="681"/>
      <c r="I78" s="681"/>
      <c r="J78" s="681"/>
      <c r="K78" s="681"/>
      <c r="L78" s="681"/>
      <c r="M78" s="682"/>
      <c r="N78" s="772">
        <f>'BASE DE CÁLCULO'!M53</f>
        <v>0</v>
      </c>
      <c r="O78" s="773"/>
      <c r="P78" s="774"/>
    </row>
    <row r="79" spans="1:16" ht="15.6">
      <c r="A79" s="7" t="s">
        <v>56</v>
      </c>
      <c r="B79" s="680" t="s">
        <v>510</v>
      </c>
      <c r="C79" s="681"/>
      <c r="D79" s="681"/>
      <c r="E79" s="681"/>
      <c r="F79" s="681"/>
      <c r="G79" s="681"/>
      <c r="H79" s="681"/>
      <c r="I79" s="681"/>
      <c r="J79" s="681"/>
      <c r="K79" s="681"/>
      <c r="L79" s="681"/>
      <c r="M79" s="682"/>
      <c r="N79" s="772">
        <f>'BASE DE CÁLCULO'!Q53</f>
        <v>25.3</v>
      </c>
      <c r="O79" s="773"/>
      <c r="P79" s="774"/>
    </row>
    <row r="80" spans="1:16" ht="15.6">
      <c r="A80" s="7" t="s">
        <v>58</v>
      </c>
      <c r="B80" s="680" t="s">
        <v>511</v>
      </c>
      <c r="C80" s="681"/>
      <c r="D80" s="681"/>
      <c r="E80" s="681"/>
      <c r="F80" s="681"/>
      <c r="G80" s="681"/>
      <c r="H80" s="681"/>
      <c r="I80" s="681"/>
      <c r="J80" s="681"/>
      <c r="K80" s="681"/>
      <c r="L80" s="681"/>
      <c r="M80" s="682"/>
      <c r="N80" s="714">
        <f>'BASE DE CÁLCULO'!S53</f>
        <v>161.85</v>
      </c>
      <c r="O80" s="715"/>
      <c r="P80" s="716"/>
    </row>
    <row r="81" spans="1:16" ht="16.2" customHeight="1">
      <c r="A81" s="7" t="s">
        <v>60</v>
      </c>
      <c r="B81" s="680" t="s">
        <v>334</v>
      </c>
      <c r="C81" s="681"/>
      <c r="D81" s="681"/>
      <c r="E81" s="681"/>
      <c r="F81" s="681"/>
      <c r="G81" s="681"/>
      <c r="H81" s="681"/>
      <c r="I81" s="681"/>
      <c r="J81" s="681"/>
      <c r="K81" s="681"/>
      <c r="L81" s="681"/>
      <c r="M81" s="682"/>
      <c r="N81" s="772">
        <f>'BASE DE CÁLCULO'!R53</f>
        <v>6.43</v>
      </c>
      <c r="O81" s="773"/>
      <c r="P81" s="774"/>
    </row>
    <row r="82" spans="1:16" ht="15.6">
      <c r="A82" s="633" t="s">
        <v>480</v>
      </c>
      <c r="B82" s="634"/>
      <c r="C82" s="634"/>
      <c r="D82" s="634"/>
      <c r="E82" s="634"/>
      <c r="F82" s="634"/>
      <c r="G82" s="634"/>
      <c r="H82" s="634"/>
      <c r="I82" s="634"/>
      <c r="J82" s="634"/>
      <c r="K82" s="634"/>
      <c r="L82" s="634"/>
      <c r="M82" s="635"/>
      <c r="N82" s="775">
        <f>SUM(N75:P81)</f>
        <v>674.58</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565.20000000000005</v>
      </c>
      <c r="O88" s="769"/>
      <c r="P88" s="770"/>
    </row>
    <row r="89" spans="1:16" ht="15.6">
      <c r="A89" s="11" t="s">
        <v>491</v>
      </c>
      <c r="B89" s="699" t="s">
        <v>518</v>
      </c>
      <c r="C89" s="700"/>
      <c r="D89" s="700"/>
      <c r="E89" s="700"/>
      <c r="F89" s="700"/>
      <c r="G89" s="700"/>
      <c r="H89" s="700"/>
      <c r="I89" s="700"/>
      <c r="J89" s="700"/>
      <c r="K89" s="700"/>
      <c r="L89" s="700"/>
      <c r="M89" s="701"/>
      <c r="N89" s="769">
        <f>N68</f>
        <v>781.92</v>
      </c>
      <c r="O89" s="769"/>
      <c r="P89" s="770"/>
    </row>
    <row r="90" spans="1:16" ht="15.6">
      <c r="A90" s="9" t="s">
        <v>506</v>
      </c>
      <c r="B90" s="699" t="s">
        <v>519</v>
      </c>
      <c r="C90" s="700"/>
      <c r="D90" s="700"/>
      <c r="E90" s="700"/>
      <c r="F90" s="700"/>
      <c r="G90" s="700"/>
      <c r="H90" s="700"/>
      <c r="I90" s="700"/>
      <c r="J90" s="700"/>
      <c r="K90" s="700"/>
      <c r="L90" s="700"/>
      <c r="M90" s="701"/>
      <c r="N90" s="769">
        <f>N82</f>
        <v>674.58</v>
      </c>
      <c r="O90" s="769"/>
      <c r="P90" s="770"/>
    </row>
    <row r="91" spans="1:16" ht="15.6">
      <c r="A91" s="633" t="s">
        <v>480</v>
      </c>
      <c r="B91" s="702"/>
      <c r="C91" s="702"/>
      <c r="D91" s="702"/>
      <c r="E91" s="702"/>
      <c r="F91" s="702"/>
      <c r="G91" s="702"/>
      <c r="H91" s="702"/>
      <c r="I91" s="702"/>
      <c r="J91" s="702"/>
      <c r="K91" s="702"/>
      <c r="L91" s="702"/>
      <c r="M91" s="703"/>
      <c r="N91" s="765">
        <f>SUM(N88:P90)</f>
        <v>2021.7</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8.92</v>
      </c>
      <c r="O95" s="769"/>
      <c r="P95" s="770"/>
    </row>
    <row r="96" spans="1:16" ht="15.6">
      <c r="A96" s="7" t="s">
        <v>27</v>
      </c>
      <c r="B96" s="680" t="s">
        <v>522</v>
      </c>
      <c r="C96" s="681"/>
      <c r="D96" s="681"/>
      <c r="E96" s="681"/>
      <c r="F96" s="681"/>
      <c r="G96" s="681"/>
      <c r="H96" s="681"/>
      <c r="I96" s="681"/>
      <c r="J96" s="681"/>
      <c r="K96" s="681"/>
      <c r="L96" s="681"/>
      <c r="M96" s="682"/>
      <c r="N96" s="768">
        <f>N46*'BASE DE CÁLCULO'!C89</f>
        <v>0.64</v>
      </c>
      <c r="O96" s="769"/>
      <c r="P96" s="770"/>
    </row>
    <row r="97" spans="1:16" ht="15.6">
      <c r="A97" s="7" t="s">
        <v>30</v>
      </c>
      <c r="B97" s="680" t="s">
        <v>523</v>
      </c>
      <c r="C97" s="681"/>
      <c r="D97" s="681"/>
      <c r="E97" s="681"/>
      <c r="F97" s="681"/>
      <c r="G97" s="681"/>
      <c r="H97" s="681"/>
      <c r="I97" s="681"/>
      <c r="J97" s="681"/>
      <c r="K97" s="681"/>
      <c r="L97" s="681"/>
      <c r="M97" s="682"/>
      <c r="N97" s="768">
        <f>N46*'BASE DE CÁLCULO'!C90</f>
        <v>0.21</v>
      </c>
      <c r="O97" s="769"/>
      <c r="P97" s="770"/>
    </row>
    <row r="98" spans="1:16" ht="15.6">
      <c r="A98" s="7" t="s">
        <v>32</v>
      </c>
      <c r="B98" s="680" t="s">
        <v>524</v>
      </c>
      <c r="C98" s="681"/>
      <c r="D98" s="681"/>
      <c r="E98" s="681"/>
      <c r="F98" s="681"/>
      <c r="G98" s="681"/>
      <c r="H98" s="681"/>
      <c r="I98" s="681"/>
      <c r="J98" s="681"/>
      <c r="K98" s="681"/>
      <c r="L98" s="681"/>
      <c r="M98" s="682"/>
      <c r="N98" s="768">
        <f>N46*'BASE DE CÁLCULO'!C91</f>
        <v>41.22</v>
      </c>
      <c r="O98" s="769"/>
      <c r="P98" s="770"/>
    </row>
    <row r="99" spans="1:16" ht="15.6">
      <c r="A99" s="7" t="s">
        <v>56</v>
      </c>
      <c r="B99" s="680" t="s">
        <v>525</v>
      </c>
      <c r="C99" s="681"/>
      <c r="D99" s="681"/>
      <c r="E99" s="681"/>
      <c r="F99" s="681"/>
      <c r="G99" s="681"/>
      <c r="H99" s="681"/>
      <c r="I99" s="681"/>
      <c r="J99" s="681"/>
      <c r="K99" s="681"/>
      <c r="L99" s="681"/>
      <c r="M99" s="682"/>
      <c r="N99" s="768">
        <f>N46*'BASE DE CÁLCULO'!C92</f>
        <v>15.09</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1.27</v>
      </c>
      <c r="O100" s="684"/>
      <c r="P100" s="685"/>
    </row>
    <row r="101" spans="1:16" ht="15.6">
      <c r="A101" s="633" t="s">
        <v>480</v>
      </c>
      <c r="B101" s="634"/>
      <c r="C101" s="634"/>
      <c r="D101" s="634"/>
      <c r="E101" s="634"/>
      <c r="F101" s="634"/>
      <c r="G101" s="634"/>
      <c r="H101" s="634"/>
      <c r="I101" s="634"/>
      <c r="J101" s="634"/>
      <c r="K101" s="634"/>
      <c r="L101" s="634"/>
      <c r="M101" s="635"/>
      <c r="N101" s="765">
        <f>SUM(N95:P100)</f>
        <v>67.349999999999994</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242.23</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24.22</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40.369999999999997</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0.64</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9.77</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5.0999999999999996</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1.7</v>
      </c>
      <c r="O115" s="769"/>
      <c r="P115" s="770"/>
    </row>
    <row r="116" spans="1:16" ht="15.6">
      <c r="A116" s="633" t="s">
        <v>480</v>
      </c>
      <c r="B116" s="634"/>
      <c r="C116" s="634"/>
      <c r="D116" s="634"/>
      <c r="E116" s="634"/>
      <c r="F116" s="634"/>
      <c r="G116" s="634"/>
      <c r="H116" s="634"/>
      <c r="I116" s="634"/>
      <c r="J116" s="634"/>
      <c r="K116" s="634"/>
      <c r="L116" s="634"/>
      <c r="M116" s="635"/>
      <c r="N116" s="765">
        <f>SUM(N109:P115)</f>
        <v>324.02999999999997</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3.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324.02999999999997</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324.02999999999997</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CÁLCULO'!O53</f>
        <v>237.97</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CÁLCULO'!P53</f>
        <v>1.91</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239.88</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238.89</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501.67</v>
      </c>
      <c r="O142" s="684"/>
      <c r="P142" s="685"/>
    </row>
    <row r="143" spans="1:16" ht="16.5" customHeight="1">
      <c r="A143" s="7" t="s">
        <v>30</v>
      </c>
      <c r="B143" s="633" t="s">
        <v>552</v>
      </c>
      <c r="C143" s="634"/>
      <c r="D143" s="634"/>
      <c r="E143" s="634"/>
      <c r="F143" s="634"/>
      <c r="G143" s="634"/>
      <c r="H143" s="634"/>
      <c r="I143" s="634"/>
      <c r="J143" s="634"/>
      <c r="K143" s="635"/>
      <c r="L143" s="694">
        <f>SUM(L144:M146)</f>
        <v>0.13250000000000001</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588.41</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CÁLCULO'!C71</f>
        <v>0.04</v>
      </c>
      <c r="M146" s="626"/>
      <c r="N146" s="683">
        <f>(($N$158+$N$141+$N$142)/(100%-$L$143))*L146</f>
        <v>254.45</v>
      </c>
      <c r="O146" s="684"/>
      <c r="P146" s="685"/>
    </row>
    <row r="147" spans="1:17" ht="15.6">
      <c r="A147" s="633" t="s">
        <v>480</v>
      </c>
      <c r="B147" s="634"/>
      <c r="C147" s="634"/>
      <c r="D147" s="634"/>
      <c r="E147" s="634"/>
      <c r="F147" s="634"/>
      <c r="G147" s="634"/>
      <c r="H147" s="634"/>
      <c r="I147" s="634"/>
      <c r="J147" s="634"/>
      <c r="K147" s="635"/>
      <c r="L147" s="694">
        <f>SUM(L141:M143)</f>
        <v>0.28249999999999997</v>
      </c>
      <c r="M147" s="620"/>
      <c r="N147" s="765">
        <f>SUM(N141:P146)</f>
        <v>1583.42</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2124.8000000000002</v>
      </c>
      <c r="O153" s="769"/>
      <c r="P153" s="770"/>
    </row>
    <row r="154" spans="1:17" ht="15.6">
      <c r="A154" s="7" t="s">
        <v>27</v>
      </c>
      <c r="B154" s="680" t="s">
        <v>561</v>
      </c>
      <c r="C154" s="681"/>
      <c r="D154" s="681"/>
      <c r="E154" s="681"/>
      <c r="F154" s="681"/>
      <c r="G154" s="681"/>
      <c r="H154" s="681"/>
      <c r="I154" s="681"/>
      <c r="J154" s="681"/>
      <c r="K154" s="681"/>
      <c r="L154" s="681"/>
      <c r="M154" s="682"/>
      <c r="N154" s="768">
        <f>N91</f>
        <v>2021.7</v>
      </c>
      <c r="O154" s="769"/>
      <c r="P154" s="770"/>
    </row>
    <row r="155" spans="1:17" ht="15.6">
      <c r="A155" s="7" t="s">
        <v>30</v>
      </c>
      <c r="B155" s="680" t="s">
        <v>562</v>
      </c>
      <c r="C155" s="681"/>
      <c r="D155" s="681"/>
      <c r="E155" s="681"/>
      <c r="F155" s="681"/>
      <c r="G155" s="681"/>
      <c r="H155" s="681"/>
      <c r="I155" s="681"/>
      <c r="J155" s="681"/>
      <c r="K155" s="681"/>
      <c r="L155" s="681"/>
      <c r="M155" s="682"/>
      <c r="N155" s="768">
        <f>N101</f>
        <v>67.349999999999994</v>
      </c>
      <c r="O155" s="769"/>
      <c r="P155" s="770"/>
    </row>
    <row r="156" spans="1:17" ht="15.6">
      <c r="A156" s="7" t="s">
        <v>32</v>
      </c>
      <c r="B156" s="680" t="s">
        <v>563</v>
      </c>
      <c r="C156" s="681"/>
      <c r="D156" s="681"/>
      <c r="E156" s="681"/>
      <c r="F156" s="681"/>
      <c r="G156" s="681"/>
      <c r="H156" s="681"/>
      <c r="I156" s="681"/>
      <c r="J156" s="681"/>
      <c r="K156" s="681"/>
      <c r="L156" s="681"/>
      <c r="M156" s="682"/>
      <c r="N156" s="768">
        <f>N129</f>
        <v>324.02999999999997</v>
      </c>
      <c r="O156" s="769"/>
      <c r="P156" s="770"/>
    </row>
    <row r="157" spans="1:17" ht="15.6">
      <c r="A157" s="7" t="s">
        <v>56</v>
      </c>
      <c r="B157" s="680" t="s">
        <v>564</v>
      </c>
      <c r="C157" s="681"/>
      <c r="D157" s="681"/>
      <c r="E157" s="681"/>
      <c r="F157" s="681"/>
      <c r="G157" s="681"/>
      <c r="H157" s="681"/>
      <c r="I157" s="681"/>
      <c r="J157" s="681"/>
      <c r="K157" s="681"/>
      <c r="L157" s="681"/>
      <c r="M157" s="682"/>
      <c r="N157" s="768">
        <f>N136</f>
        <v>239.88</v>
      </c>
      <c r="O157" s="769"/>
      <c r="P157" s="770"/>
    </row>
    <row r="158" spans="1:17" ht="15.6">
      <c r="A158" s="633" t="s">
        <v>565</v>
      </c>
      <c r="B158" s="634"/>
      <c r="C158" s="634"/>
      <c r="D158" s="634"/>
      <c r="E158" s="634"/>
      <c r="F158" s="634"/>
      <c r="G158" s="634"/>
      <c r="H158" s="634"/>
      <c r="I158" s="634"/>
      <c r="J158" s="634"/>
      <c r="K158" s="634"/>
      <c r="L158" s="634"/>
      <c r="M158" s="635"/>
      <c r="N158" s="765">
        <f>SUM(N153:P157)</f>
        <v>4777.76</v>
      </c>
      <c r="O158" s="766"/>
      <c r="P158" s="767"/>
    </row>
    <row r="159" spans="1:17" ht="15.6">
      <c r="A159" s="7" t="s">
        <v>58</v>
      </c>
      <c r="B159" s="680" t="s">
        <v>566</v>
      </c>
      <c r="C159" s="681"/>
      <c r="D159" s="681"/>
      <c r="E159" s="681"/>
      <c r="F159" s="681"/>
      <c r="G159" s="681"/>
      <c r="H159" s="681"/>
      <c r="I159" s="681"/>
      <c r="J159" s="681"/>
      <c r="K159" s="681"/>
      <c r="L159" s="681"/>
      <c r="M159" s="682"/>
      <c r="N159" s="768">
        <f>N147</f>
        <v>1583.42</v>
      </c>
      <c r="O159" s="769"/>
      <c r="P159" s="770"/>
    </row>
    <row r="160" spans="1:17" ht="15.6">
      <c r="A160" s="633" t="s">
        <v>567</v>
      </c>
      <c r="B160" s="634"/>
      <c r="C160" s="634"/>
      <c r="D160" s="634"/>
      <c r="E160" s="634"/>
      <c r="F160" s="634"/>
      <c r="G160" s="634"/>
      <c r="H160" s="634"/>
      <c r="I160" s="634"/>
      <c r="J160" s="634"/>
      <c r="K160" s="634"/>
      <c r="L160" s="634"/>
      <c r="M160" s="635"/>
      <c r="N160" s="765">
        <f>SUM(N158:P159)</f>
        <v>6361.18</v>
      </c>
      <c r="O160" s="766"/>
      <c r="P160" s="767"/>
    </row>
    <row r="161" spans="1:16" ht="15.6">
      <c r="A161" s="633" t="s">
        <v>568</v>
      </c>
      <c r="B161" s="634"/>
      <c r="C161" s="634"/>
      <c r="D161" s="634"/>
      <c r="E161" s="634"/>
      <c r="F161" s="634"/>
      <c r="G161" s="634"/>
      <c r="H161" s="634"/>
      <c r="I161" s="634"/>
      <c r="J161" s="634"/>
      <c r="K161" s="634"/>
      <c r="L161" s="634"/>
      <c r="M161" s="635"/>
      <c r="N161" s="665">
        <f>N160*N20</f>
        <v>12722.36</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115" zoomScale="85" zoomScaleNormal="85" workbookViewId="0">
      <selection activeCell="T158" sqref="T158"/>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CÁLCULO'!B54</f>
        <v>São Mateus/ES</v>
      </c>
      <c r="O12" s="740"/>
      <c r="P12" s="741"/>
    </row>
    <row r="13" spans="1:16" ht="15.6">
      <c r="A13" s="7" t="s">
        <v>30</v>
      </c>
      <c r="B13" s="680" t="s">
        <v>455</v>
      </c>
      <c r="C13" s="681"/>
      <c r="D13" s="681"/>
      <c r="E13" s="681"/>
      <c r="F13" s="681"/>
      <c r="G13" s="681"/>
      <c r="H13" s="681"/>
      <c r="I13" s="681"/>
      <c r="J13" s="681"/>
      <c r="K13" s="681"/>
      <c r="L13" s="681"/>
      <c r="M13" s="682"/>
      <c r="N13" s="739" t="str">
        <f>'BASE DE CÁLCULO'!D54</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CÁLCULO'!C54</f>
        <v>ASG I</v>
      </c>
      <c r="B20" s="625"/>
      <c r="C20" s="625"/>
      <c r="D20" s="626"/>
      <c r="E20" s="751" t="s">
        <v>459</v>
      </c>
      <c r="F20" s="752"/>
      <c r="G20" s="752"/>
      <c r="H20" s="752"/>
      <c r="I20" s="752"/>
      <c r="J20" s="752"/>
      <c r="K20" s="752"/>
      <c r="L20" s="752"/>
      <c r="M20" s="753"/>
      <c r="N20" s="789">
        <f>'BASE DE CÁLCULO'!F54</f>
        <v>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ASG I</v>
      </c>
      <c r="O30" s="740"/>
      <c r="P30" s="741"/>
    </row>
    <row r="31" spans="1:16" ht="15.6">
      <c r="A31" s="7">
        <v>2</v>
      </c>
      <c r="B31" s="680" t="s">
        <v>466</v>
      </c>
      <c r="C31" s="681"/>
      <c r="D31" s="681"/>
      <c r="E31" s="681"/>
      <c r="F31" s="681"/>
      <c r="G31" s="681"/>
      <c r="H31" s="681"/>
      <c r="I31" s="681"/>
      <c r="J31" s="681"/>
      <c r="K31" s="681"/>
      <c r="L31" s="681"/>
      <c r="M31" s="682"/>
      <c r="N31" s="781" t="s">
        <v>572</v>
      </c>
      <c r="O31" s="779"/>
      <c r="P31" s="780"/>
    </row>
    <row r="32" spans="1:16" ht="15.6">
      <c r="A32" s="7">
        <v>3</v>
      </c>
      <c r="B32" s="680" t="s">
        <v>468</v>
      </c>
      <c r="C32" s="681"/>
      <c r="D32" s="681"/>
      <c r="E32" s="681"/>
      <c r="F32" s="681"/>
      <c r="G32" s="681"/>
      <c r="H32" s="681"/>
      <c r="I32" s="681"/>
      <c r="J32" s="681"/>
      <c r="K32" s="681"/>
      <c r="L32" s="681"/>
      <c r="M32" s="682"/>
      <c r="N32" s="772">
        <f>'BASE DE CÁLCULO'!G54</f>
        <v>1261.9000000000001</v>
      </c>
      <c r="O32" s="773"/>
      <c r="P32" s="774"/>
    </row>
    <row r="33" spans="1:16" ht="15.6">
      <c r="A33" s="7">
        <v>4</v>
      </c>
      <c r="B33" s="680" t="s">
        <v>469</v>
      </c>
      <c r="C33" s="681"/>
      <c r="D33" s="681"/>
      <c r="E33" s="681"/>
      <c r="F33" s="681"/>
      <c r="G33" s="681"/>
      <c r="H33" s="681"/>
      <c r="I33" s="681"/>
      <c r="J33" s="681"/>
      <c r="K33" s="681"/>
      <c r="L33" s="681"/>
      <c r="M33" s="682"/>
      <c r="N33" s="782" t="str">
        <f>'BASE DE CÁLCULO'!E54</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1261.9000000000001</v>
      </c>
      <c r="O39" s="773"/>
      <c r="P39" s="774"/>
    </row>
    <row r="40" spans="1:16" ht="15.6">
      <c r="A40" s="7" t="s">
        <v>27</v>
      </c>
      <c r="B40" s="680" t="s">
        <v>474</v>
      </c>
      <c r="C40" s="681"/>
      <c r="D40" s="681"/>
      <c r="E40" s="681"/>
      <c r="F40" s="681"/>
      <c r="G40" s="681"/>
      <c r="H40" s="681"/>
      <c r="I40" s="681"/>
      <c r="J40" s="681"/>
      <c r="K40" s="681"/>
      <c r="L40" s="681"/>
      <c r="M40" s="682"/>
      <c r="N40" s="772" t="str">
        <f>'BASE DE CÁLCULO'!I54</f>
        <v>-</v>
      </c>
      <c r="O40" s="773"/>
      <c r="P40" s="774"/>
    </row>
    <row r="41" spans="1:16" ht="15.6">
      <c r="A41" s="7" t="s">
        <v>30</v>
      </c>
      <c r="B41" s="680" t="s">
        <v>475</v>
      </c>
      <c r="C41" s="681"/>
      <c r="D41" s="681"/>
      <c r="E41" s="681"/>
      <c r="F41" s="681"/>
      <c r="G41" s="681"/>
      <c r="H41" s="681"/>
      <c r="I41" s="681"/>
      <c r="J41" s="681"/>
      <c r="K41" s="681"/>
      <c r="L41" s="681"/>
      <c r="M41" s="682"/>
      <c r="N41" s="772" t="str">
        <f>'BASE DE CÁLCULO'!J54</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1261.9000000000001</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143.86000000000001</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191.81</v>
      </c>
      <c r="O53" s="773"/>
      <c r="P53" s="774"/>
    </row>
    <row r="54" spans="1:16" ht="15.6">
      <c r="A54" s="633" t="s">
        <v>480</v>
      </c>
      <c r="B54" s="634"/>
      <c r="C54" s="634"/>
      <c r="D54" s="634"/>
      <c r="E54" s="634"/>
      <c r="F54" s="634"/>
      <c r="G54" s="634"/>
      <c r="H54" s="634"/>
      <c r="I54" s="634"/>
      <c r="J54" s="634"/>
      <c r="K54" s="634"/>
      <c r="L54" s="634"/>
      <c r="M54" s="635"/>
      <c r="N54" s="775">
        <f>SUM(N52:P53)</f>
        <v>335.67</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252.38</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31.55</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37.86</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18.93</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12.62</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7.57</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2.52</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100.95</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464.38</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CÁLCULO'!K54</f>
        <v>111.24</v>
      </c>
      <c r="O75" s="773"/>
      <c r="P75" s="774"/>
    </row>
    <row r="76" spans="1:16" ht="16.5" customHeight="1">
      <c r="A76" s="7" t="s">
        <v>27</v>
      </c>
      <c r="B76" s="680" t="s">
        <v>331</v>
      </c>
      <c r="C76" s="681"/>
      <c r="D76" s="681"/>
      <c r="E76" s="681"/>
      <c r="F76" s="681"/>
      <c r="G76" s="681"/>
      <c r="H76" s="681"/>
      <c r="I76" s="681"/>
      <c r="J76" s="681"/>
      <c r="K76" s="681"/>
      <c r="L76" s="681"/>
      <c r="M76" s="682"/>
      <c r="N76" s="772">
        <f>'BASE DE CÁLCULO'!L54</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CÁLCULO'!N54</f>
        <v>230.26</v>
      </c>
      <c r="O77" s="773"/>
      <c r="P77" s="774"/>
    </row>
    <row r="78" spans="1:16" ht="15.6">
      <c r="A78" s="7" t="s">
        <v>32</v>
      </c>
      <c r="B78" s="680" t="s">
        <v>509</v>
      </c>
      <c r="C78" s="681"/>
      <c r="D78" s="681"/>
      <c r="E78" s="681"/>
      <c r="F78" s="681"/>
      <c r="G78" s="681"/>
      <c r="H78" s="681"/>
      <c r="I78" s="681"/>
      <c r="J78" s="681"/>
      <c r="K78" s="681"/>
      <c r="L78" s="681"/>
      <c r="M78" s="682"/>
      <c r="N78" s="772">
        <f>'BASE DE CÁLCULO'!M54</f>
        <v>0</v>
      </c>
      <c r="O78" s="773"/>
      <c r="P78" s="774"/>
    </row>
    <row r="79" spans="1:16" ht="15.6">
      <c r="A79" s="7" t="s">
        <v>56</v>
      </c>
      <c r="B79" s="680" t="s">
        <v>510</v>
      </c>
      <c r="C79" s="681"/>
      <c r="D79" s="681"/>
      <c r="E79" s="681"/>
      <c r="F79" s="681"/>
      <c r="G79" s="681"/>
      <c r="H79" s="681"/>
      <c r="I79" s="681"/>
      <c r="J79" s="681"/>
      <c r="K79" s="681"/>
      <c r="L79" s="681"/>
      <c r="M79" s="682"/>
      <c r="N79" s="772">
        <f>'BASE DE CÁLCULO'!Q54</f>
        <v>25.3</v>
      </c>
      <c r="O79" s="773"/>
      <c r="P79" s="774"/>
    </row>
    <row r="80" spans="1:16" ht="15.6">
      <c r="A80" s="7" t="s">
        <v>58</v>
      </c>
      <c r="B80" s="680" t="s">
        <v>511</v>
      </c>
      <c r="C80" s="681"/>
      <c r="D80" s="681"/>
      <c r="E80" s="681"/>
      <c r="F80" s="681"/>
      <c r="G80" s="681"/>
      <c r="H80" s="681"/>
      <c r="I80" s="681"/>
      <c r="J80" s="681"/>
      <c r="K80" s="681"/>
      <c r="L80" s="681"/>
      <c r="M80" s="682"/>
      <c r="N80" s="714">
        <f>'BASE DE CÁLCULO'!S54</f>
        <v>174.26</v>
      </c>
      <c r="O80" s="715"/>
      <c r="P80" s="716"/>
    </row>
    <row r="81" spans="1:16" ht="16.2" customHeight="1">
      <c r="A81" s="7" t="s">
        <v>60</v>
      </c>
      <c r="B81" s="680" t="s">
        <v>334</v>
      </c>
      <c r="C81" s="681"/>
      <c r="D81" s="681"/>
      <c r="E81" s="681"/>
      <c r="F81" s="681"/>
      <c r="G81" s="681"/>
      <c r="H81" s="681"/>
      <c r="I81" s="681"/>
      <c r="J81" s="681"/>
      <c r="K81" s="681"/>
      <c r="L81" s="681"/>
      <c r="M81" s="682"/>
      <c r="N81" s="772">
        <f>'BASE DE CÁLCULO'!R54</f>
        <v>6.43</v>
      </c>
      <c r="O81" s="773"/>
      <c r="P81" s="774"/>
    </row>
    <row r="82" spans="1:16" ht="15.6">
      <c r="A82" s="633" t="s">
        <v>480</v>
      </c>
      <c r="B82" s="634"/>
      <c r="C82" s="634"/>
      <c r="D82" s="634"/>
      <c r="E82" s="634"/>
      <c r="F82" s="634"/>
      <c r="G82" s="634"/>
      <c r="H82" s="634"/>
      <c r="I82" s="634"/>
      <c r="J82" s="634"/>
      <c r="K82" s="634"/>
      <c r="L82" s="634"/>
      <c r="M82" s="635"/>
      <c r="N82" s="775">
        <f>SUM(N75:P81)</f>
        <v>705.6</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335.67</v>
      </c>
      <c r="O88" s="769"/>
      <c r="P88" s="770"/>
    </row>
    <row r="89" spans="1:16" ht="15.6">
      <c r="A89" s="11" t="s">
        <v>491</v>
      </c>
      <c r="B89" s="699" t="s">
        <v>518</v>
      </c>
      <c r="C89" s="700"/>
      <c r="D89" s="700"/>
      <c r="E89" s="700"/>
      <c r="F89" s="700"/>
      <c r="G89" s="700"/>
      <c r="H89" s="700"/>
      <c r="I89" s="700"/>
      <c r="J89" s="700"/>
      <c r="K89" s="700"/>
      <c r="L89" s="700"/>
      <c r="M89" s="701"/>
      <c r="N89" s="769">
        <f>N68</f>
        <v>464.38</v>
      </c>
      <c r="O89" s="769"/>
      <c r="P89" s="770"/>
    </row>
    <row r="90" spans="1:16" ht="15.6">
      <c r="A90" s="9" t="s">
        <v>506</v>
      </c>
      <c r="B90" s="699" t="s">
        <v>519</v>
      </c>
      <c r="C90" s="700"/>
      <c r="D90" s="700"/>
      <c r="E90" s="700"/>
      <c r="F90" s="700"/>
      <c r="G90" s="700"/>
      <c r="H90" s="700"/>
      <c r="I90" s="700"/>
      <c r="J90" s="700"/>
      <c r="K90" s="700"/>
      <c r="L90" s="700"/>
      <c r="M90" s="701"/>
      <c r="N90" s="769">
        <f>N82</f>
        <v>705.6</v>
      </c>
      <c r="O90" s="769"/>
      <c r="P90" s="770"/>
    </row>
    <row r="91" spans="1:16" ht="15.6">
      <c r="A91" s="633" t="s">
        <v>480</v>
      </c>
      <c r="B91" s="702"/>
      <c r="C91" s="702"/>
      <c r="D91" s="702"/>
      <c r="E91" s="702"/>
      <c r="F91" s="702"/>
      <c r="G91" s="702"/>
      <c r="H91" s="702"/>
      <c r="I91" s="702"/>
      <c r="J91" s="702"/>
      <c r="K91" s="702"/>
      <c r="L91" s="702"/>
      <c r="M91" s="703"/>
      <c r="N91" s="765">
        <f>SUM(N88:P90)</f>
        <v>1505.65</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5.3</v>
      </c>
      <c r="O95" s="769"/>
      <c r="P95" s="770"/>
    </row>
    <row r="96" spans="1:16" ht="15.6">
      <c r="A96" s="7" t="s">
        <v>27</v>
      </c>
      <c r="B96" s="680" t="s">
        <v>522</v>
      </c>
      <c r="C96" s="681"/>
      <c r="D96" s="681"/>
      <c r="E96" s="681"/>
      <c r="F96" s="681"/>
      <c r="G96" s="681"/>
      <c r="H96" s="681"/>
      <c r="I96" s="681"/>
      <c r="J96" s="681"/>
      <c r="K96" s="681"/>
      <c r="L96" s="681"/>
      <c r="M96" s="682"/>
      <c r="N96" s="768">
        <f>N46*'BASE DE CÁLCULO'!C89</f>
        <v>0.38</v>
      </c>
      <c r="O96" s="769"/>
      <c r="P96" s="770"/>
    </row>
    <row r="97" spans="1:16" ht="15.6">
      <c r="A97" s="7" t="s">
        <v>30</v>
      </c>
      <c r="B97" s="680" t="s">
        <v>523</v>
      </c>
      <c r="C97" s="681"/>
      <c r="D97" s="681"/>
      <c r="E97" s="681"/>
      <c r="F97" s="681"/>
      <c r="G97" s="681"/>
      <c r="H97" s="681"/>
      <c r="I97" s="681"/>
      <c r="J97" s="681"/>
      <c r="K97" s="681"/>
      <c r="L97" s="681"/>
      <c r="M97" s="682"/>
      <c r="N97" s="768">
        <f>N46*'BASE DE CÁLCULO'!C90</f>
        <v>0.13</v>
      </c>
      <c r="O97" s="769"/>
      <c r="P97" s="770"/>
    </row>
    <row r="98" spans="1:16" ht="15.6">
      <c r="A98" s="7" t="s">
        <v>32</v>
      </c>
      <c r="B98" s="680" t="s">
        <v>524</v>
      </c>
      <c r="C98" s="681"/>
      <c r="D98" s="681"/>
      <c r="E98" s="681"/>
      <c r="F98" s="681"/>
      <c r="G98" s="681"/>
      <c r="H98" s="681"/>
      <c r="I98" s="681"/>
      <c r="J98" s="681"/>
      <c r="K98" s="681"/>
      <c r="L98" s="681"/>
      <c r="M98" s="682"/>
      <c r="N98" s="768">
        <f>N46*'BASE DE CÁLCULO'!C91</f>
        <v>24.48</v>
      </c>
      <c r="O98" s="769"/>
      <c r="P98" s="770"/>
    </row>
    <row r="99" spans="1:16" ht="15.6">
      <c r="A99" s="7" t="s">
        <v>56</v>
      </c>
      <c r="B99" s="680" t="s">
        <v>525</v>
      </c>
      <c r="C99" s="681"/>
      <c r="D99" s="681"/>
      <c r="E99" s="681"/>
      <c r="F99" s="681"/>
      <c r="G99" s="681"/>
      <c r="H99" s="681"/>
      <c r="I99" s="681"/>
      <c r="J99" s="681"/>
      <c r="K99" s="681"/>
      <c r="L99" s="681"/>
      <c r="M99" s="682"/>
      <c r="N99" s="768">
        <f>N46*'BASE DE CÁLCULO'!C92</f>
        <v>8.9600000000000009</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0.76</v>
      </c>
      <c r="O100" s="684"/>
      <c r="P100" s="685"/>
    </row>
    <row r="101" spans="1:16" ht="15.6">
      <c r="A101" s="633" t="s">
        <v>480</v>
      </c>
      <c r="B101" s="634"/>
      <c r="C101" s="634"/>
      <c r="D101" s="634"/>
      <c r="E101" s="634"/>
      <c r="F101" s="634"/>
      <c r="G101" s="634"/>
      <c r="H101" s="634"/>
      <c r="I101" s="634"/>
      <c r="J101" s="634"/>
      <c r="K101" s="634"/>
      <c r="L101" s="634"/>
      <c r="M101" s="635"/>
      <c r="N101" s="765">
        <f>SUM(N95:P100)</f>
        <v>40.01</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143.86000000000001</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14.39</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23.98</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0.38</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5.8</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3.03</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1.01</v>
      </c>
      <c r="O115" s="769"/>
      <c r="P115" s="770"/>
    </row>
    <row r="116" spans="1:16" ht="15.6">
      <c r="A116" s="633" t="s">
        <v>480</v>
      </c>
      <c r="B116" s="634"/>
      <c r="C116" s="634"/>
      <c r="D116" s="634"/>
      <c r="E116" s="634"/>
      <c r="F116" s="634"/>
      <c r="G116" s="634"/>
      <c r="H116" s="634"/>
      <c r="I116" s="634"/>
      <c r="J116" s="634"/>
      <c r="K116" s="634"/>
      <c r="L116" s="634"/>
      <c r="M116" s="635"/>
      <c r="N116" s="765">
        <f>SUM(N109:P115)</f>
        <v>192.45</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6.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192.45</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192.45</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CÁLCULO'!O54</f>
        <v>145.94999999999999</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CÁLCULO'!P54</f>
        <v>3.22</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149.16999999999999</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157.46</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330.66</v>
      </c>
      <c r="O142" s="684"/>
      <c r="P142" s="685"/>
    </row>
    <row r="143" spans="1:16" ht="16.5" customHeight="1">
      <c r="A143" s="7" t="s">
        <v>30</v>
      </c>
      <c r="B143" s="633" t="s">
        <v>552</v>
      </c>
      <c r="C143" s="634"/>
      <c r="D143" s="634"/>
      <c r="E143" s="634"/>
      <c r="F143" s="634"/>
      <c r="G143" s="634"/>
      <c r="H143" s="634"/>
      <c r="I143" s="634"/>
      <c r="J143" s="634"/>
      <c r="K143" s="635"/>
      <c r="L143" s="694">
        <f>SUM(L144:M146)</f>
        <v>0.13250000000000001</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387.84</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CÁLCULO'!C71</f>
        <v>0.04</v>
      </c>
      <c r="M146" s="626"/>
      <c r="N146" s="683">
        <f>(($N$158+$N$141+$N$142)/(100%-$L$143))*L146</f>
        <v>167.71</v>
      </c>
      <c r="O146" s="684"/>
      <c r="P146" s="685"/>
    </row>
    <row r="147" spans="1:17" ht="15.6">
      <c r="A147" s="633" t="s">
        <v>480</v>
      </c>
      <c r="B147" s="634"/>
      <c r="C147" s="634"/>
      <c r="D147" s="634"/>
      <c r="E147" s="634"/>
      <c r="F147" s="634"/>
      <c r="G147" s="634"/>
      <c r="H147" s="634"/>
      <c r="I147" s="634"/>
      <c r="J147" s="634"/>
      <c r="K147" s="635"/>
      <c r="L147" s="694">
        <f>SUM(L141:M143)</f>
        <v>0.28249999999999997</v>
      </c>
      <c r="M147" s="620"/>
      <c r="N147" s="765">
        <f>SUM(N141:P146)</f>
        <v>1043.67</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1261.9000000000001</v>
      </c>
      <c r="O153" s="769"/>
      <c r="P153" s="770"/>
    </row>
    <row r="154" spans="1:17" ht="15.6">
      <c r="A154" s="7" t="s">
        <v>27</v>
      </c>
      <c r="B154" s="680" t="s">
        <v>561</v>
      </c>
      <c r="C154" s="681"/>
      <c r="D154" s="681"/>
      <c r="E154" s="681"/>
      <c r="F154" s="681"/>
      <c r="G154" s="681"/>
      <c r="H154" s="681"/>
      <c r="I154" s="681"/>
      <c r="J154" s="681"/>
      <c r="K154" s="681"/>
      <c r="L154" s="681"/>
      <c r="M154" s="682"/>
      <c r="N154" s="768">
        <f>N91</f>
        <v>1505.65</v>
      </c>
      <c r="O154" s="769"/>
      <c r="P154" s="770"/>
    </row>
    <row r="155" spans="1:17" ht="15.6">
      <c r="A155" s="7" t="s">
        <v>30</v>
      </c>
      <c r="B155" s="680" t="s">
        <v>562</v>
      </c>
      <c r="C155" s="681"/>
      <c r="D155" s="681"/>
      <c r="E155" s="681"/>
      <c r="F155" s="681"/>
      <c r="G155" s="681"/>
      <c r="H155" s="681"/>
      <c r="I155" s="681"/>
      <c r="J155" s="681"/>
      <c r="K155" s="681"/>
      <c r="L155" s="681"/>
      <c r="M155" s="682"/>
      <c r="N155" s="768">
        <f>N101</f>
        <v>40.01</v>
      </c>
      <c r="O155" s="769"/>
      <c r="P155" s="770"/>
    </row>
    <row r="156" spans="1:17" ht="15.6">
      <c r="A156" s="7" t="s">
        <v>32</v>
      </c>
      <c r="B156" s="680" t="s">
        <v>563</v>
      </c>
      <c r="C156" s="681"/>
      <c r="D156" s="681"/>
      <c r="E156" s="681"/>
      <c r="F156" s="681"/>
      <c r="G156" s="681"/>
      <c r="H156" s="681"/>
      <c r="I156" s="681"/>
      <c r="J156" s="681"/>
      <c r="K156" s="681"/>
      <c r="L156" s="681"/>
      <c r="M156" s="682"/>
      <c r="N156" s="768">
        <f>N129</f>
        <v>192.45</v>
      </c>
      <c r="O156" s="769"/>
      <c r="P156" s="770"/>
    </row>
    <row r="157" spans="1:17" ht="15.6">
      <c r="A157" s="7" t="s">
        <v>56</v>
      </c>
      <c r="B157" s="680" t="s">
        <v>564</v>
      </c>
      <c r="C157" s="681"/>
      <c r="D157" s="681"/>
      <c r="E157" s="681"/>
      <c r="F157" s="681"/>
      <c r="G157" s="681"/>
      <c r="H157" s="681"/>
      <c r="I157" s="681"/>
      <c r="J157" s="681"/>
      <c r="K157" s="681"/>
      <c r="L157" s="681"/>
      <c r="M157" s="682"/>
      <c r="N157" s="768">
        <f>N136</f>
        <v>149.16999999999999</v>
      </c>
      <c r="O157" s="769"/>
      <c r="P157" s="770"/>
    </row>
    <row r="158" spans="1:17" ht="15.6">
      <c r="A158" s="633" t="s">
        <v>565</v>
      </c>
      <c r="B158" s="634"/>
      <c r="C158" s="634"/>
      <c r="D158" s="634"/>
      <c r="E158" s="634"/>
      <c r="F158" s="634"/>
      <c r="G158" s="634"/>
      <c r="H158" s="634"/>
      <c r="I158" s="634"/>
      <c r="J158" s="634"/>
      <c r="K158" s="634"/>
      <c r="L158" s="634"/>
      <c r="M158" s="635"/>
      <c r="N158" s="765">
        <f>SUM(N153:P157)</f>
        <v>3149.18</v>
      </c>
      <c r="O158" s="766"/>
      <c r="P158" s="767"/>
    </row>
    <row r="159" spans="1:17" ht="15.6">
      <c r="A159" s="7" t="s">
        <v>58</v>
      </c>
      <c r="B159" s="680" t="s">
        <v>566</v>
      </c>
      <c r="C159" s="681"/>
      <c r="D159" s="681"/>
      <c r="E159" s="681"/>
      <c r="F159" s="681"/>
      <c r="G159" s="681"/>
      <c r="H159" s="681"/>
      <c r="I159" s="681"/>
      <c r="J159" s="681"/>
      <c r="K159" s="681"/>
      <c r="L159" s="681"/>
      <c r="M159" s="682"/>
      <c r="N159" s="768">
        <f>N147</f>
        <v>1043.67</v>
      </c>
      <c r="O159" s="769"/>
      <c r="P159" s="770"/>
    </row>
    <row r="160" spans="1:17" ht="15.6">
      <c r="A160" s="633" t="s">
        <v>567</v>
      </c>
      <c r="B160" s="634"/>
      <c r="C160" s="634"/>
      <c r="D160" s="634"/>
      <c r="E160" s="634"/>
      <c r="F160" s="634"/>
      <c r="G160" s="634"/>
      <c r="H160" s="634"/>
      <c r="I160" s="634"/>
      <c r="J160" s="634"/>
      <c r="K160" s="634"/>
      <c r="L160" s="634"/>
      <c r="M160" s="635"/>
      <c r="N160" s="765">
        <f>SUM(N158:P159)</f>
        <v>4192.8500000000004</v>
      </c>
      <c r="O160" s="766"/>
      <c r="P160" s="767"/>
    </row>
    <row r="161" spans="1:16" ht="15.6">
      <c r="A161" s="633" t="s">
        <v>568</v>
      </c>
      <c r="B161" s="634"/>
      <c r="C161" s="634"/>
      <c r="D161" s="634"/>
      <c r="E161" s="634"/>
      <c r="F161" s="634"/>
      <c r="G161" s="634"/>
      <c r="H161" s="634"/>
      <c r="I161" s="634"/>
      <c r="J161" s="634"/>
      <c r="K161" s="634"/>
      <c r="L161" s="634"/>
      <c r="M161" s="635"/>
      <c r="N161" s="665">
        <f>N160*N20</f>
        <v>8385.7000000000007</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2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112" zoomScale="85" zoomScaleNormal="85" workbookViewId="0">
      <selection activeCell="V155" sqref="V155"/>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CÁLCULO'!B55</f>
        <v>São Mateus/ES</v>
      </c>
      <c r="O12" s="740"/>
      <c r="P12" s="741"/>
    </row>
    <row r="13" spans="1:16" ht="15.6">
      <c r="A13" s="7" t="s">
        <v>30</v>
      </c>
      <c r="B13" s="680" t="s">
        <v>455</v>
      </c>
      <c r="C13" s="681"/>
      <c r="D13" s="681"/>
      <c r="E13" s="681"/>
      <c r="F13" s="681"/>
      <c r="G13" s="681"/>
      <c r="H13" s="681"/>
      <c r="I13" s="681"/>
      <c r="J13" s="681"/>
      <c r="K13" s="681"/>
      <c r="L13" s="681"/>
      <c r="M13" s="682"/>
      <c r="N13" s="739" t="str">
        <f>'BASE DE CÁLCULO'!D55</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CÁLCULO'!C55</f>
        <v>ASG II</v>
      </c>
      <c r="B20" s="625"/>
      <c r="C20" s="625"/>
      <c r="D20" s="626"/>
      <c r="E20" s="751" t="s">
        <v>459</v>
      </c>
      <c r="F20" s="752"/>
      <c r="G20" s="752"/>
      <c r="H20" s="752"/>
      <c r="I20" s="752"/>
      <c r="J20" s="752"/>
      <c r="K20" s="752"/>
      <c r="L20" s="752"/>
      <c r="M20" s="753"/>
      <c r="N20" s="789">
        <f>'BASE DE CÁLCULO'!F55</f>
        <v>1</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ASG II</v>
      </c>
      <c r="O30" s="740"/>
      <c r="P30" s="741"/>
    </row>
    <row r="31" spans="1:16" ht="15.6">
      <c r="A31" s="7">
        <v>2</v>
      </c>
      <c r="B31" s="680" t="s">
        <v>466</v>
      </c>
      <c r="C31" s="681"/>
      <c r="D31" s="681"/>
      <c r="E31" s="681"/>
      <c r="F31" s="681"/>
      <c r="G31" s="681"/>
      <c r="H31" s="681"/>
      <c r="I31" s="681"/>
      <c r="J31" s="681"/>
      <c r="K31" s="681"/>
      <c r="L31" s="681"/>
      <c r="M31" s="682"/>
      <c r="N31" s="781" t="s">
        <v>572</v>
      </c>
      <c r="O31" s="779"/>
      <c r="P31" s="780"/>
    </row>
    <row r="32" spans="1:16" ht="15.6">
      <c r="A32" s="7">
        <v>3</v>
      </c>
      <c r="B32" s="680" t="s">
        <v>468</v>
      </c>
      <c r="C32" s="681"/>
      <c r="D32" s="681"/>
      <c r="E32" s="681"/>
      <c r="F32" s="681"/>
      <c r="G32" s="681"/>
      <c r="H32" s="681"/>
      <c r="I32" s="681"/>
      <c r="J32" s="681"/>
      <c r="K32" s="681"/>
      <c r="L32" s="681"/>
      <c r="M32" s="682"/>
      <c r="N32" s="772">
        <f>'BASE DE CÁLCULO'!G55</f>
        <v>1261.9000000000001</v>
      </c>
      <c r="O32" s="773"/>
      <c r="P32" s="774"/>
    </row>
    <row r="33" spans="1:16" ht="15.6">
      <c r="A33" s="7">
        <v>4</v>
      </c>
      <c r="B33" s="680" t="s">
        <v>469</v>
      </c>
      <c r="C33" s="681"/>
      <c r="D33" s="681"/>
      <c r="E33" s="681"/>
      <c r="F33" s="681"/>
      <c r="G33" s="681"/>
      <c r="H33" s="681"/>
      <c r="I33" s="681"/>
      <c r="J33" s="681"/>
      <c r="K33" s="681"/>
      <c r="L33" s="681"/>
      <c r="M33" s="682"/>
      <c r="N33" s="782" t="str">
        <f>'BASE DE CÁLCULO'!E55</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1261.9000000000001</v>
      </c>
      <c r="O39" s="773"/>
      <c r="P39" s="774"/>
    </row>
    <row r="40" spans="1:16" ht="15.6">
      <c r="A40" s="7" t="s">
        <v>27</v>
      </c>
      <c r="B40" s="680" t="s">
        <v>474</v>
      </c>
      <c r="C40" s="681"/>
      <c r="D40" s="681"/>
      <c r="E40" s="681"/>
      <c r="F40" s="681"/>
      <c r="G40" s="681"/>
      <c r="H40" s="681"/>
      <c r="I40" s="681"/>
      <c r="J40" s="681"/>
      <c r="K40" s="681"/>
      <c r="L40" s="681"/>
      <c r="M40" s="682"/>
      <c r="N40" s="772" t="str">
        <f>'BASE DE CÁLCULO'!I55</f>
        <v>-</v>
      </c>
      <c r="O40" s="773"/>
      <c r="P40" s="774"/>
    </row>
    <row r="41" spans="1:16" ht="15.6">
      <c r="A41" s="7" t="s">
        <v>30</v>
      </c>
      <c r="B41" s="680" t="s">
        <v>475</v>
      </c>
      <c r="C41" s="681"/>
      <c r="D41" s="681"/>
      <c r="E41" s="681"/>
      <c r="F41" s="681"/>
      <c r="G41" s="681"/>
      <c r="H41" s="681"/>
      <c r="I41" s="681"/>
      <c r="J41" s="681"/>
      <c r="K41" s="681"/>
      <c r="L41" s="681"/>
      <c r="M41" s="682"/>
      <c r="N41" s="772">
        <f>'BASE DE CÁLCULO'!J55</f>
        <v>484.8</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1746.7</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199.12</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265.5</v>
      </c>
      <c r="O53" s="773"/>
      <c r="P53" s="774"/>
    </row>
    <row r="54" spans="1:16" ht="15.6">
      <c r="A54" s="633" t="s">
        <v>480</v>
      </c>
      <c r="B54" s="634"/>
      <c r="C54" s="634"/>
      <c r="D54" s="634"/>
      <c r="E54" s="634"/>
      <c r="F54" s="634"/>
      <c r="G54" s="634"/>
      <c r="H54" s="634"/>
      <c r="I54" s="634"/>
      <c r="J54" s="634"/>
      <c r="K54" s="634"/>
      <c r="L54" s="634"/>
      <c r="M54" s="635"/>
      <c r="N54" s="775">
        <f>SUM(N52:P53)</f>
        <v>464.62</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349.34</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43.67</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52.4</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26.2</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17.47</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10.48</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3.49</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139.74</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642.79</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CÁLCULO'!K55</f>
        <v>111.24</v>
      </c>
      <c r="O75" s="773"/>
      <c r="P75" s="774"/>
    </row>
    <row r="76" spans="1:16" ht="16.5" customHeight="1">
      <c r="A76" s="7" t="s">
        <v>27</v>
      </c>
      <c r="B76" s="680" t="s">
        <v>331</v>
      </c>
      <c r="C76" s="681"/>
      <c r="D76" s="681"/>
      <c r="E76" s="681"/>
      <c r="F76" s="681"/>
      <c r="G76" s="681"/>
      <c r="H76" s="681"/>
      <c r="I76" s="681"/>
      <c r="J76" s="681"/>
      <c r="K76" s="681"/>
      <c r="L76" s="681"/>
      <c r="M76" s="682"/>
      <c r="N76" s="772">
        <f>'BASE DE CÁLCULO'!L55</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CÁLCULO'!N55</f>
        <v>230.26</v>
      </c>
      <c r="O77" s="773"/>
      <c r="P77" s="774"/>
    </row>
    <row r="78" spans="1:16" ht="15.6">
      <c r="A78" s="7" t="s">
        <v>32</v>
      </c>
      <c r="B78" s="680" t="s">
        <v>509</v>
      </c>
      <c r="C78" s="681"/>
      <c r="D78" s="681"/>
      <c r="E78" s="681"/>
      <c r="F78" s="681"/>
      <c r="G78" s="681"/>
      <c r="H78" s="681"/>
      <c r="I78" s="681"/>
      <c r="J78" s="681"/>
      <c r="K78" s="681"/>
      <c r="L78" s="681"/>
      <c r="M78" s="682"/>
      <c r="N78" s="772">
        <f>'BASE DE CÁLCULO'!M55</f>
        <v>0</v>
      </c>
      <c r="O78" s="773"/>
      <c r="P78" s="774"/>
    </row>
    <row r="79" spans="1:16" ht="15.6">
      <c r="A79" s="7" t="s">
        <v>56</v>
      </c>
      <c r="B79" s="680" t="s">
        <v>510</v>
      </c>
      <c r="C79" s="681"/>
      <c r="D79" s="681"/>
      <c r="E79" s="681"/>
      <c r="F79" s="681"/>
      <c r="G79" s="681"/>
      <c r="H79" s="681"/>
      <c r="I79" s="681"/>
      <c r="J79" s="681"/>
      <c r="K79" s="681"/>
      <c r="L79" s="681"/>
      <c r="M79" s="682"/>
      <c r="N79" s="772">
        <f>'BASE DE CÁLCULO'!Q55</f>
        <v>25.3</v>
      </c>
      <c r="O79" s="773"/>
      <c r="P79" s="774"/>
    </row>
    <row r="80" spans="1:16" ht="15.6">
      <c r="A80" s="7" t="s">
        <v>58</v>
      </c>
      <c r="B80" s="680" t="s">
        <v>511</v>
      </c>
      <c r="C80" s="681"/>
      <c r="D80" s="681"/>
      <c r="E80" s="681"/>
      <c r="F80" s="681"/>
      <c r="G80" s="681"/>
      <c r="H80" s="681"/>
      <c r="I80" s="681"/>
      <c r="J80" s="681"/>
      <c r="K80" s="681"/>
      <c r="L80" s="681"/>
      <c r="M80" s="682"/>
      <c r="N80" s="714">
        <f>'BASE DE CÁLCULO'!S55</f>
        <v>174.26</v>
      </c>
      <c r="O80" s="715"/>
      <c r="P80" s="716"/>
    </row>
    <row r="81" spans="1:16" ht="16.2" customHeight="1">
      <c r="A81" s="7" t="s">
        <v>60</v>
      </c>
      <c r="B81" s="680" t="s">
        <v>334</v>
      </c>
      <c r="C81" s="681"/>
      <c r="D81" s="681"/>
      <c r="E81" s="681"/>
      <c r="F81" s="681"/>
      <c r="G81" s="681"/>
      <c r="H81" s="681"/>
      <c r="I81" s="681"/>
      <c r="J81" s="681"/>
      <c r="K81" s="681"/>
      <c r="L81" s="681"/>
      <c r="M81" s="682"/>
      <c r="N81" s="772">
        <f>'BASE DE CÁLCULO'!R55</f>
        <v>6.43</v>
      </c>
      <c r="O81" s="773"/>
      <c r="P81" s="774"/>
    </row>
    <row r="82" spans="1:16" ht="15.6">
      <c r="A82" s="633" t="s">
        <v>480</v>
      </c>
      <c r="B82" s="634"/>
      <c r="C82" s="634"/>
      <c r="D82" s="634"/>
      <c r="E82" s="634"/>
      <c r="F82" s="634"/>
      <c r="G82" s="634"/>
      <c r="H82" s="634"/>
      <c r="I82" s="634"/>
      <c r="J82" s="634"/>
      <c r="K82" s="634"/>
      <c r="L82" s="634"/>
      <c r="M82" s="635"/>
      <c r="N82" s="775">
        <f>SUM(N75:P81)</f>
        <v>705.6</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464.62</v>
      </c>
      <c r="O88" s="769"/>
      <c r="P88" s="770"/>
    </row>
    <row r="89" spans="1:16" ht="15.6">
      <c r="A89" s="11" t="s">
        <v>491</v>
      </c>
      <c r="B89" s="699" t="s">
        <v>518</v>
      </c>
      <c r="C89" s="700"/>
      <c r="D89" s="700"/>
      <c r="E89" s="700"/>
      <c r="F89" s="700"/>
      <c r="G89" s="700"/>
      <c r="H89" s="700"/>
      <c r="I89" s="700"/>
      <c r="J89" s="700"/>
      <c r="K89" s="700"/>
      <c r="L89" s="700"/>
      <c r="M89" s="701"/>
      <c r="N89" s="769">
        <f>N68</f>
        <v>642.79</v>
      </c>
      <c r="O89" s="769"/>
      <c r="P89" s="770"/>
    </row>
    <row r="90" spans="1:16" ht="15.6">
      <c r="A90" s="9" t="s">
        <v>506</v>
      </c>
      <c r="B90" s="699" t="s">
        <v>519</v>
      </c>
      <c r="C90" s="700"/>
      <c r="D90" s="700"/>
      <c r="E90" s="700"/>
      <c r="F90" s="700"/>
      <c r="G90" s="700"/>
      <c r="H90" s="700"/>
      <c r="I90" s="700"/>
      <c r="J90" s="700"/>
      <c r="K90" s="700"/>
      <c r="L90" s="700"/>
      <c r="M90" s="701"/>
      <c r="N90" s="769">
        <f>N82</f>
        <v>705.6</v>
      </c>
      <c r="O90" s="769"/>
      <c r="P90" s="770"/>
    </row>
    <row r="91" spans="1:16" ht="15.6">
      <c r="A91" s="633" t="s">
        <v>480</v>
      </c>
      <c r="B91" s="702"/>
      <c r="C91" s="702"/>
      <c r="D91" s="702"/>
      <c r="E91" s="702"/>
      <c r="F91" s="702"/>
      <c r="G91" s="702"/>
      <c r="H91" s="702"/>
      <c r="I91" s="702"/>
      <c r="J91" s="702"/>
      <c r="K91" s="702"/>
      <c r="L91" s="702"/>
      <c r="M91" s="703"/>
      <c r="N91" s="765">
        <f>SUM(N88:P90)</f>
        <v>1813.01</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7.34</v>
      </c>
      <c r="O95" s="769"/>
      <c r="P95" s="770"/>
    </row>
    <row r="96" spans="1:16" ht="15.6">
      <c r="A96" s="7" t="s">
        <v>27</v>
      </c>
      <c r="B96" s="680" t="s">
        <v>522</v>
      </c>
      <c r="C96" s="681"/>
      <c r="D96" s="681"/>
      <c r="E96" s="681"/>
      <c r="F96" s="681"/>
      <c r="G96" s="681"/>
      <c r="H96" s="681"/>
      <c r="I96" s="681"/>
      <c r="J96" s="681"/>
      <c r="K96" s="681"/>
      <c r="L96" s="681"/>
      <c r="M96" s="682"/>
      <c r="N96" s="768">
        <f>N46*'BASE DE CÁLCULO'!C89</f>
        <v>0.52</v>
      </c>
      <c r="O96" s="769"/>
      <c r="P96" s="770"/>
    </row>
    <row r="97" spans="1:16" ht="15.6">
      <c r="A97" s="7" t="s">
        <v>30</v>
      </c>
      <c r="B97" s="680" t="s">
        <v>523</v>
      </c>
      <c r="C97" s="681"/>
      <c r="D97" s="681"/>
      <c r="E97" s="681"/>
      <c r="F97" s="681"/>
      <c r="G97" s="681"/>
      <c r="H97" s="681"/>
      <c r="I97" s="681"/>
      <c r="J97" s="681"/>
      <c r="K97" s="681"/>
      <c r="L97" s="681"/>
      <c r="M97" s="682"/>
      <c r="N97" s="768">
        <f>N46*'BASE DE CÁLCULO'!C90</f>
        <v>0.17</v>
      </c>
      <c r="O97" s="769"/>
      <c r="P97" s="770"/>
    </row>
    <row r="98" spans="1:16" ht="15.6">
      <c r="A98" s="7" t="s">
        <v>32</v>
      </c>
      <c r="B98" s="680" t="s">
        <v>524</v>
      </c>
      <c r="C98" s="681"/>
      <c r="D98" s="681"/>
      <c r="E98" s="681"/>
      <c r="F98" s="681"/>
      <c r="G98" s="681"/>
      <c r="H98" s="681"/>
      <c r="I98" s="681"/>
      <c r="J98" s="681"/>
      <c r="K98" s="681"/>
      <c r="L98" s="681"/>
      <c r="M98" s="682"/>
      <c r="N98" s="768">
        <f>N46*'BASE DE CÁLCULO'!C91</f>
        <v>33.89</v>
      </c>
      <c r="O98" s="769"/>
      <c r="P98" s="770"/>
    </row>
    <row r="99" spans="1:16" ht="15.6">
      <c r="A99" s="7" t="s">
        <v>56</v>
      </c>
      <c r="B99" s="680" t="s">
        <v>525</v>
      </c>
      <c r="C99" s="681"/>
      <c r="D99" s="681"/>
      <c r="E99" s="681"/>
      <c r="F99" s="681"/>
      <c r="G99" s="681"/>
      <c r="H99" s="681"/>
      <c r="I99" s="681"/>
      <c r="J99" s="681"/>
      <c r="K99" s="681"/>
      <c r="L99" s="681"/>
      <c r="M99" s="682"/>
      <c r="N99" s="768">
        <f>N46*'BASE DE CÁLCULO'!C92</f>
        <v>12.4</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1.05</v>
      </c>
      <c r="O100" s="684"/>
      <c r="P100" s="685"/>
    </row>
    <row r="101" spans="1:16" ht="15.6">
      <c r="A101" s="633" t="s">
        <v>480</v>
      </c>
      <c r="B101" s="634"/>
      <c r="C101" s="634"/>
      <c r="D101" s="634"/>
      <c r="E101" s="634"/>
      <c r="F101" s="634"/>
      <c r="G101" s="634"/>
      <c r="H101" s="634"/>
      <c r="I101" s="634"/>
      <c r="J101" s="634"/>
      <c r="K101" s="634"/>
      <c r="L101" s="634"/>
      <c r="M101" s="635"/>
      <c r="N101" s="765">
        <f>SUM(N95:P100)</f>
        <v>55.37</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199.12</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19.91</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33.19</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0.52</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8.0299999999999994</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4.1900000000000004</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1.4</v>
      </c>
      <c r="O115" s="769"/>
      <c r="P115" s="770"/>
    </row>
    <row r="116" spans="1:16" ht="15.6">
      <c r="A116" s="633" t="s">
        <v>480</v>
      </c>
      <c r="B116" s="634"/>
      <c r="C116" s="634"/>
      <c r="D116" s="634"/>
      <c r="E116" s="634"/>
      <c r="F116" s="634"/>
      <c r="G116" s="634"/>
      <c r="H116" s="634"/>
      <c r="I116" s="634"/>
      <c r="J116" s="634"/>
      <c r="K116" s="634"/>
      <c r="L116" s="634"/>
      <c r="M116" s="635"/>
      <c r="N116" s="765">
        <f>SUM(N109:P115)</f>
        <v>266.36</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266.36</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266.36</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CÁLCULO'!O55</f>
        <v>152.61000000000001</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CÁLCULO'!P55</f>
        <v>3.22</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155.83000000000001</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201.86</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423.91</v>
      </c>
      <c r="O142" s="684"/>
      <c r="P142" s="685"/>
    </row>
    <row r="143" spans="1:16" ht="16.5" customHeight="1">
      <c r="A143" s="7" t="s">
        <v>30</v>
      </c>
      <c r="B143" s="633" t="s">
        <v>552</v>
      </c>
      <c r="C143" s="634"/>
      <c r="D143" s="634"/>
      <c r="E143" s="634"/>
      <c r="F143" s="634"/>
      <c r="G143" s="634"/>
      <c r="H143" s="634"/>
      <c r="I143" s="634"/>
      <c r="J143" s="634"/>
      <c r="K143" s="635"/>
      <c r="L143" s="694">
        <f>SUM(L144:M146)</f>
        <v>0.13250000000000001</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497.21</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CÁLCULO'!C71</f>
        <v>0.04</v>
      </c>
      <c r="M146" s="626"/>
      <c r="N146" s="683">
        <f>(($N$158+$N$141+$N$142)/(100%-$L$143))*L146</f>
        <v>215.01</v>
      </c>
      <c r="O146" s="684"/>
      <c r="P146" s="685"/>
    </row>
    <row r="147" spans="1:17" ht="15.6">
      <c r="A147" s="633" t="s">
        <v>480</v>
      </c>
      <c r="B147" s="634"/>
      <c r="C147" s="634"/>
      <c r="D147" s="634"/>
      <c r="E147" s="634"/>
      <c r="F147" s="634"/>
      <c r="G147" s="634"/>
      <c r="H147" s="634"/>
      <c r="I147" s="634"/>
      <c r="J147" s="634"/>
      <c r="K147" s="635"/>
      <c r="L147" s="694">
        <f>SUM(L141:M143)</f>
        <v>0.28249999999999997</v>
      </c>
      <c r="M147" s="620"/>
      <c r="N147" s="765">
        <f>SUM(N141:P146)</f>
        <v>1337.99</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1746.7</v>
      </c>
      <c r="O153" s="769"/>
      <c r="P153" s="770"/>
    </row>
    <row r="154" spans="1:17" ht="15.6">
      <c r="A154" s="7" t="s">
        <v>27</v>
      </c>
      <c r="B154" s="680" t="s">
        <v>561</v>
      </c>
      <c r="C154" s="681"/>
      <c r="D154" s="681"/>
      <c r="E154" s="681"/>
      <c r="F154" s="681"/>
      <c r="G154" s="681"/>
      <c r="H154" s="681"/>
      <c r="I154" s="681"/>
      <c r="J154" s="681"/>
      <c r="K154" s="681"/>
      <c r="L154" s="681"/>
      <c r="M154" s="682"/>
      <c r="N154" s="768">
        <f>N91</f>
        <v>1813.01</v>
      </c>
      <c r="O154" s="769"/>
      <c r="P154" s="770"/>
    </row>
    <row r="155" spans="1:17" ht="15.6">
      <c r="A155" s="7" t="s">
        <v>30</v>
      </c>
      <c r="B155" s="680" t="s">
        <v>562</v>
      </c>
      <c r="C155" s="681"/>
      <c r="D155" s="681"/>
      <c r="E155" s="681"/>
      <c r="F155" s="681"/>
      <c r="G155" s="681"/>
      <c r="H155" s="681"/>
      <c r="I155" s="681"/>
      <c r="J155" s="681"/>
      <c r="K155" s="681"/>
      <c r="L155" s="681"/>
      <c r="M155" s="682"/>
      <c r="N155" s="768">
        <f>N101</f>
        <v>55.37</v>
      </c>
      <c r="O155" s="769"/>
      <c r="P155" s="770"/>
    </row>
    <row r="156" spans="1:17" ht="15.6">
      <c r="A156" s="7" t="s">
        <v>32</v>
      </c>
      <c r="B156" s="680" t="s">
        <v>563</v>
      </c>
      <c r="C156" s="681"/>
      <c r="D156" s="681"/>
      <c r="E156" s="681"/>
      <c r="F156" s="681"/>
      <c r="G156" s="681"/>
      <c r="H156" s="681"/>
      <c r="I156" s="681"/>
      <c r="J156" s="681"/>
      <c r="K156" s="681"/>
      <c r="L156" s="681"/>
      <c r="M156" s="682"/>
      <c r="N156" s="768">
        <f>N129</f>
        <v>266.36</v>
      </c>
      <c r="O156" s="769"/>
      <c r="P156" s="770"/>
    </row>
    <row r="157" spans="1:17" ht="15.6">
      <c r="A157" s="7" t="s">
        <v>56</v>
      </c>
      <c r="B157" s="680" t="s">
        <v>564</v>
      </c>
      <c r="C157" s="681"/>
      <c r="D157" s="681"/>
      <c r="E157" s="681"/>
      <c r="F157" s="681"/>
      <c r="G157" s="681"/>
      <c r="H157" s="681"/>
      <c r="I157" s="681"/>
      <c r="J157" s="681"/>
      <c r="K157" s="681"/>
      <c r="L157" s="681"/>
      <c r="M157" s="682"/>
      <c r="N157" s="768">
        <f>N136</f>
        <v>155.83000000000001</v>
      </c>
      <c r="O157" s="769"/>
      <c r="P157" s="770"/>
    </row>
    <row r="158" spans="1:17" ht="15.6">
      <c r="A158" s="633" t="s">
        <v>565</v>
      </c>
      <c r="B158" s="634"/>
      <c r="C158" s="634"/>
      <c r="D158" s="634"/>
      <c r="E158" s="634"/>
      <c r="F158" s="634"/>
      <c r="G158" s="634"/>
      <c r="H158" s="634"/>
      <c r="I158" s="634"/>
      <c r="J158" s="634"/>
      <c r="K158" s="634"/>
      <c r="L158" s="634"/>
      <c r="M158" s="635"/>
      <c r="N158" s="765">
        <f>SUM(N153:P157)</f>
        <v>4037.27</v>
      </c>
      <c r="O158" s="766"/>
      <c r="P158" s="767"/>
    </row>
    <row r="159" spans="1:17" ht="15.6">
      <c r="A159" s="7" t="s">
        <v>58</v>
      </c>
      <c r="B159" s="680" t="s">
        <v>566</v>
      </c>
      <c r="C159" s="681"/>
      <c r="D159" s="681"/>
      <c r="E159" s="681"/>
      <c r="F159" s="681"/>
      <c r="G159" s="681"/>
      <c r="H159" s="681"/>
      <c r="I159" s="681"/>
      <c r="J159" s="681"/>
      <c r="K159" s="681"/>
      <c r="L159" s="681"/>
      <c r="M159" s="682"/>
      <c r="N159" s="768">
        <f>N147</f>
        <v>1337.99</v>
      </c>
      <c r="O159" s="769"/>
      <c r="P159" s="770"/>
    </row>
    <row r="160" spans="1:17" ht="15.6">
      <c r="A160" s="633" t="s">
        <v>567</v>
      </c>
      <c r="B160" s="634"/>
      <c r="C160" s="634"/>
      <c r="D160" s="634"/>
      <c r="E160" s="634"/>
      <c r="F160" s="634"/>
      <c r="G160" s="634"/>
      <c r="H160" s="634"/>
      <c r="I160" s="634"/>
      <c r="J160" s="634"/>
      <c r="K160" s="634"/>
      <c r="L160" s="634"/>
      <c r="M160" s="635"/>
      <c r="N160" s="765">
        <f>SUM(N158:P159)</f>
        <v>5375.26</v>
      </c>
      <c r="O160" s="766"/>
      <c r="P160" s="767"/>
    </row>
    <row r="161" spans="1:16" ht="15.6">
      <c r="A161" s="633" t="s">
        <v>568</v>
      </c>
      <c r="B161" s="634"/>
      <c r="C161" s="634"/>
      <c r="D161" s="634"/>
      <c r="E161" s="634"/>
      <c r="F161" s="634"/>
      <c r="G161" s="634"/>
      <c r="H161" s="634"/>
      <c r="I161" s="634"/>
      <c r="J161" s="634"/>
      <c r="K161" s="634"/>
      <c r="L161" s="634"/>
      <c r="M161" s="635"/>
      <c r="N161" s="665">
        <f>N160*N20</f>
        <v>5375.26</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G85"/>
  <sheetViews>
    <sheetView view="pageBreakPreview" zoomScaleNormal="100" workbookViewId="0">
      <selection activeCell="I21" sqref="I21"/>
    </sheetView>
  </sheetViews>
  <sheetFormatPr defaultColWidth="9.109375" defaultRowHeight="13.2"/>
  <cols>
    <col min="1" max="1" width="29.109375" style="380" customWidth="1"/>
    <col min="2" max="2" width="30.5546875" customWidth="1"/>
    <col min="3" max="3" width="17.109375" customWidth="1"/>
    <col min="4" max="4" width="15" customWidth="1"/>
    <col min="5" max="5" width="18.88671875" customWidth="1"/>
    <col min="6" max="6" width="15" customWidth="1"/>
    <col min="7" max="7" width="14.88671875" customWidth="1"/>
  </cols>
  <sheetData>
    <row r="1" spans="1:7" ht="15.9" customHeight="1">
      <c r="A1" s="539" t="s">
        <v>177</v>
      </c>
      <c r="B1" s="539"/>
      <c r="C1" s="539"/>
      <c r="D1" s="539"/>
      <c r="E1" s="539"/>
      <c r="F1" s="342"/>
      <c r="G1" s="342"/>
    </row>
    <row r="2" spans="1:7" ht="15.9" customHeight="1">
      <c r="A2" s="381"/>
      <c r="B2" s="342"/>
      <c r="C2" s="342"/>
      <c r="D2" s="342"/>
      <c r="E2" s="342"/>
      <c r="F2" s="342"/>
      <c r="G2" s="342"/>
    </row>
    <row r="3" spans="1:7" ht="15.9" customHeight="1">
      <c r="A3" s="592" t="s">
        <v>178</v>
      </c>
      <c r="B3" s="592"/>
      <c r="C3" s="592"/>
      <c r="D3" s="592"/>
      <c r="E3" s="592"/>
      <c r="F3" s="342"/>
      <c r="G3" s="342"/>
    </row>
    <row r="4" spans="1:7" ht="25.5" customHeight="1">
      <c r="A4" s="382"/>
      <c r="B4" s="342"/>
      <c r="C4" s="342"/>
      <c r="D4" s="342"/>
      <c r="E4" s="342"/>
      <c r="F4" s="342"/>
      <c r="G4" s="342"/>
    </row>
    <row r="5" spans="1:7" ht="26.25" customHeight="1">
      <c r="A5" s="591" t="s">
        <v>179</v>
      </c>
      <c r="B5" s="591"/>
      <c r="C5" s="591"/>
      <c r="D5" s="591"/>
      <c r="E5" s="591"/>
      <c r="F5" s="591"/>
      <c r="G5" s="591"/>
    </row>
    <row r="6" spans="1:7" ht="28.5" customHeight="1">
      <c r="A6" s="382"/>
      <c r="B6" s="342"/>
      <c r="C6" s="342"/>
      <c r="D6" s="342"/>
      <c r="E6" s="342"/>
      <c r="F6" s="342"/>
      <c r="G6" s="342"/>
    </row>
    <row r="7" spans="1:7">
      <c r="A7" s="383"/>
      <c r="B7" s="384">
        <v>-1</v>
      </c>
      <c r="C7" s="384">
        <v>-2</v>
      </c>
      <c r="D7" s="384" t="s">
        <v>180</v>
      </c>
      <c r="E7" s="342"/>
      <c r="F7" s="342"/>
      <c r="G7" s="342"/>
    </row>
    <row r="8" spans="1:7" ht="25.2">
      <c r="A8" s="385" t="s">
        <v>181</v>
      </c>
      <c r="B8" s="386" t="s">
        <v>182</v>
      </c>
      <c r="C8" s="386" t="s">
        <v>183</v>
      </c>
      <c r="D8" s="386" t="s">
        <v>164</v>
      </c>
      <c r="E8" s="342"/>
      <c r="F8" s="342"/>
      <c r="G8" s="342"/>
    </row>
    <row r="9" spans="1:7">
      <c r="A9" s="387"/>
      <c r="B9" s="388" t="s">
        <v>184</v>
      </c>
      <c r="C9" s="388" t="s">
        <v>151</v>
      </c>
      <c r="D9" s="388" t="s">
        <v>185</v>
      </c>
      <c r="E9" s="342"/>
      <c r="F9" s="342"/>
      <c r="G9" s="342"/>
    </row>
    <row r="10" spans="1:7">
      <c r="A10" s="579" t="s">
        <v>186</v>
      </c>
      <c r="B10" s="389" t="s">
        <v>187</v>
      </c>
      <c r="C10" s="567"/>
      <c r="D10" s="567">
        <f>C10/(30*600)</f>
        <v>0</v>
      </c>
      <c r="E10" s="342"/>
      <c r="F10" s="342"/>
      <c r="G10" s="342"/>
    </row>
    <row r="11" spans="1:7" ht="15.9" customHeight="1">
      <c r="A11" s="580"/>
      <c r="B11" s="390" t="s">
        <v>188</v>
      </c>
      <c r="C11" s="568"/>
      <c r="D11" s="568"/>
      <c r="E11" s="342"/>
      <c r="F11" s="342"/>
      <c r="G11" s="342"/>
    </row>
    <row r="12" spans="1:7" ht="15.9" customHeight="1">
      <c r="A12" s="579" t="s">
        <v>189</v>
      </c>
      <c r="B12" s="389" t="s">
        <v>190</v>
      </c>
      <c r="C12" s="567"/>
      <c r="D12" s="567">
        <f>C12/600</f>
        <v>0</v>
      </c>
      <c r="E12" s="342"/>
      <c r="F12" s="342"/>
      <c r="G12" s="342"/>
    </row>
    <row r="13" spans="1:7" ht="15.9" customHeight="1">
      <c r="A13" s="580"/>
      <c r="B13" s="390" t="s">
        <v>191</v>
      </c>
      <c r="C13" s="568"/>
      <c r="D13" s="568"/>
      <c r="E13" s="342"/>
      <c r="F13" s="342"/>
      <c r="G13" s="342"/>
    </row>
    <row r="14" spans="1:7" ht="15.9" customHeight="1">
      <c r="A14" s="512" t="s">
        <v>19</v>
      </c>
      <c r="B14" s="593"/>
      <c r="C14" s="513"/>
      <c r="D14" s="391">
        <f>SUM(D10:D13)</f>
        <v>0</v>
      </c>
      <c r="E14" s="342"/>
      <c r="F14" s="342"/>
      <c r="G14" s="342"/>
    </row>
    <row r="15" spans="1:7" ht="15.9" customHeight="1">
      <c r="A15" s="382"/>
      <c r="B15" s="342"/>
      <c r="C15" s="342"/>
      <c r="D15" s="342"/>
      <c r="E15" s="342"/>
      <c r="F15" s="342"/>
      <c r="G15" s="342"/>
    </row>
    <row r="16" spans="1:7" ht="15.9" customHeight="1">
      <c r="A16" s="382"/>
      <c r="B16" s="342"/>
      <c r="C16" s="342"/>
      <c r="D16" s="342"/>
      <c r="E16" s="342"/>
      <c r="F16" s="342"/>
      <c r="G16" s="342"/>
    </row>
    <row r="17" spans="1:7" ht="23.25" customHeight="1">
      <c r="A17" s="591" t="s">
        <v>192</v>
      </c>
      <c r="B17" s="591"/>
      <c r="C17" s="591"/>
      <c r="D17" s="591"/>
      <c r="E17" s="591"/>
      <c r="F17" s="591"/>
      <c r="G17" s="591"/>
    </row>
    <row r="18" spans="1:7" ht="15.9" customHeight="1">
      <c r="A18" s="382"/>
      <c r="B18" s="342"/>
      <c r="C18" s="342"/>
      <c r="D18" s="342"/>
      <c r="E18" s="342"/>
      <c r="F18" s="342"/>
      <c r="G18" s="342"/>
    </row>
    <row r="19" spans="1:7" ht="15.9" customHeight="1">
      <c r="A19" s="383"/>
      <c r="B19" s="384">
        <v>-1</v>
      </c>
      <c r="C19" s="384">
        <v>-2</v>
      </c>
      <c r="D19" s="384" t="s">
        <v>180</v>
      </c>
      <c r="E19" s="342"/>
      <c r="F19" s="342"/>
      <c r="G19" s="342"/>
    </row>
    <row r="20" spans="1:7" ht="15.9" customHeight="1">
      <c r="A20" s="385" t="s">
        <v>181</v>
      </c>
      <c r="B20" s="386" t="s">
        <v>182</v>
      </c>
      <c r="C20" s="386" t="s">
        <v>183</v>
      </c>
      <c r="D20" s="386" t="s">
        <v>164</v>
      </c>
      <c r="E20" s="342"/>
      <c r="F20" s="342"/>
      <c r="G20" s="342"/>
    </row>
    <row r="21" spans="1:7" ht="15.9" customHeight="1">
      <c r="A21" s="387"/>
      <c r="B21" s="388" t="s">
        <v>184</v>
      </c>
      <c r="C21" s="388" t="s">
        <v>151</v>
      </c>
      <c r="D21" s="388" t="s">
        <v>185</v>
      </c>
      <c r="E21" s="342"/>
      <c r="F21" s="342"/>
      <c r="G21" s="342"/>
    </row>
    <row r="22" spans="1:7" ht="15.9" customHeight="1">
      <c r="A22" s="579" t="s">
        <v>186</v>
      </c>
      <c r="B22" s="389" t="s">
        <v>193</v>
      </c>
      <c r="C22" s="567"/>
      <c r="D22" s="567">
        <f>C22/(30*1200)</f>
        <v>0</v>
      </c>
      <c r="E22" s="342"/>
      <c r="F22" s="342"/>
      <c r="G22" s="342"/>
    </row>
    <row r="23" spans="1:7" ht="15.9" customHeight="1">
      <c r="A23" s="580"/>
      <c r="B23" s="390" t="s">
        <v>194</v>
      </c>
      <c r="C23" s="568"/>
      <c r="D23" s="568"/>
      <c r="E23" s="342"/>
      <c r="F23" s="342"/>
      <c r="G23" s="342"/>
    </row>
    <row r="24" spans="1:7" ht="15.9" customHeight="1">
      <c r="A24" s="579" t="s">
        <v>189</v>
      </c>
      <c r="B24" s="389" t="s">
        <v>190</v>
      </c>
      <c r="C24" s="567"/>
      <c r="D24" s="567">
        <f>C24/1200</f>
        <v>0</v>
      </c>
      <c r="E24" s="342"/>
      <c r="F24" s="342"/>
      <c r="G24" s="342"/>
    </row>
    <row r="25" spans="1:7" ht="15.9" customHeight="1">
      <c r="A25" s="580"/>
      <c r="B25" s="390" t="s">
        <v>195</v>
      </c>
      <c r="C25" s="568"/>
      <c r="D25" s="568"/>
      <c r="E25" s="342"/>
      <c r="F25" s="342"/>
      <c r="G25" s="342"/>
    </row>
    <row r="26" spans="1:7" ht="15.9" customHeight="1">
      <c r="A26" s="512" t="s">
        <v>19</v>
      </c>
      <c r="B26" s="593"/>
      <c r="C26" s="513"/>
      <c r="D26" s="392">
        <f>D22+D24</f>
        <v>0</v>
      </c>
      <c r="E26" s="342"/>
      <c r="F26" s="342"/>
      <c r="G26" s="342"/>
    </row>
    <row r="27" spans="1:7" ht="15.9" customHeight="1">
      <c r="A27" s="382"/>
      <c r="B27" s="342"/>
      <c r="C27" s="342"/>
      <c r="D27" s="342"/>
      <c r="E27" s="342"/>
      <c r="F27" s="342"/>
      <c r="G27" s="342"/>
    </row>
    <row r="28" spans="1:7" ht="15.9" customHeight="1">
      <c r="A28" s="382"/>
      <c r="B28" s="342"/>
      <c r="C28" s="342"/>
      <c r="D28" s="342"/>
      <c r="E28" s="342"/>
      <c r="F28" s="342"/>
      <c r="G28" s="342"/>
    </row>
    <row r="29" spans="1:7" ht="26.25" customHeight="1">
      <c r="A29" s="591" t="s">
        <v>196</v>
      </c>
      <c r="B29" s="591"/>
      <c r="C29" s="591"/>
      <c r="D29" s="591"/>
      <c r="E29" s="591"/>
      <c r="F29" s="591"/>
      <c r="G29" s="591"/>
    </row>
    <row r="30" spans="1:7" ht="15.9" customHeight="1">
      <c r="A30" s="382"/>
      <c r="B30" s="342"/>
      <c r="C30" s="342"/>
      <c r="D30" s="342"/>
      <c r="E30" s="342"/>
      <c r="F30" s="342"/>
      <c r="G30" s="342"/>
    </row>
    <row r="31" spans="1:7" ht="15.9" customHeight="1">
      <c r="A31" s="383"/>
      <c r="B31" s="393">
        <v>-1</v>
      </c>
      <c r="C31" s="393">
        <v>-2</v>
      </c>
      <c r="D31" s="393">
        <v>-3</v>
      </c>
      <c r="E31" s="393">
        <v>-4</v>
      </c>
      <c r="F31" s="393">
        <v>-5</v>
      </c>
      <c r="G31" s="393" t="s">
        <v>197</v>
      </c>
    </row>
    <row r="32" spans="1:7" ht="15.9" customHeight="1">
      <c r="A32" s="394" t="s">
        <v>181</v>
      </c>
      <c r="B32" s="395" t="s">
        <v>198</v>
      </c>
      <c r="C32" s="395" t="s">
        <v>199</v>
      </c>
      <c r="D32" s="395" t="s">
        <v>200</v>
      </c>
      <c r="E32" s="395" t="s">
        <v>201</v>
      </c>
      <c r="F32" s="395" t="s">
        <v>202</v>
      </c>
      <c r="G32" s="395" t="s">
        <v>203</v>
      </c>
    </row>
    <row r="33" spans="1:7" ht="15.9" customHeight="1">
      <c r="A33" s="396"/>
      <c r="B33" s="395" t="s">
        <v>204</v>
      </c>
      <c r="C33" s="397"/>
      <c r="D33" s="397"/>
      <c r="E33" s="395" t="s">
        <v>205</v>
      </c>
      <c r="F33" s="395" t="s">
        <v>151</v>
      </c>
      <c r="G33" s="395" t="s">
        <v>19</v>
      </c>
    </row>
    <row r="34" spans="1:7" ht="15.9" customHeight="1">
      <c r="A34" s="387"/>
      <c r="B34" s="398" t="s">
        <v>184</v>
      </c>
      <c r="C34" s="399"/>
      <c r="D34" s="399"/>
      <c r="E34" s="399"/>
      <c r="F34" s="399"/>
      <c r="G34" s="398" t="s">
        <v>185</v>
      </c>
    </row>
    <row r="35" spans="1:7" ht="15.9" customHeight="1">
      <c r="A35" s="577" t="s">
        <v>186</v>
      </c>
      <c r="B35" s="400" t="s">
        <v>206</v>
      </c>
      <c r="C35" s="575" t="s">
        <v>207</v>
      </c>
      <c r="D35" s="400" t="s">
        <v>208</v>
      </c>
      <c r="E35" s="575">
        <v>1.27E-5</v>
      </c>
      <c r="F35" s="567"/>
      <c r="G35" s="567">
        <f>F35*E35</f>
        <v>0</v>
      </c>
    </row>
    <row r="36" spans="1:7" ht="15.9" customHeight="1">
      <c r="A36" s="578"/>
      <c r="B36" s="401" t="s">
        <v>209</v>
      </c>
      <c r="C36" s="576"/>
      <c r="D36" s="401">
        <v>191.4</v>
      </c>
      <c r="E36" s="576"/>
      <c r="F36" s="568"/>
      <c r="G36" s="568"/>
    </row>
    <row r="37" spans="1:7" ht="15.9" customHeight="1">
      <c r="A37" s="577" t="s">
        <v>189</v>
      </c>
      <c r="B37" s="400" t="s">
        <v>210</v>
      </c>
      <c r="C37" s="575" t="s">
        <v>207</v>
      </c>
      <c r="D37" s="400" t="s">
        <v>208</v>
      </c>
      <c r="E37" s="571">
        <v>3.8000000000000002E-4</v>
      </c>
      <c r="F37" s="567"/>
      <c r="G37" s="567">
        <f>F37*E37</f>
        <v>0</v>
      </c>
    </row>
    <row r="38" spans="1:7" ht="15.9" customHeight="1">
      <c r="A38" s="578"/>
      <c r="B38" s="401" t="s">
        <v>211</v>
      </c>
      <c r="C38" s="576"/>
      <c r="D38" s="401">
        <v>191.4</v>
      </c>
      <c r="E38" s="572"/>
      <c r="F38" s="568"/>
      <c r="G38" s="568"/>
    </row>
    <row r="39" spans="1:7" ht="15.9" customHeight="1">
      <c r="A39" s="561" t="s">
        <v>19</v>
      </c>
      <c r="B39" s="562"/>
      <c r="C39" s="562"/>
      <c r="D39" s="562"/>
      <c r="E39" s="562"/>
      <c r="F39" s="563"/>
      <c r="G39" s="569">
        <f>G35+G37</f>
        <v>0</v>
      </c>
    </row>
    <row r="40" spans="1:7" ht="15.9" customHeight="1">
      <c r="A40" s="564"/>
      <c r="B40" s="565"/>
      <c r="C40" s="565"/>
      <c r="D40" s="565"/>
      <c r="E40" s="565"/>
      <c r="F40" s="566"/>
      <c r="G40" s="570"/>
    </row>
    <row r="41" spans="1:7" ht="15.9" customHeight="1">
      <c r="A41" s="382"/>
      <c r="B41" s="342"/>
      <c r="C41" s="342"/>
      <c r="D41" s="342"/>
      <c r="E41" s="342"/>
      <c r="F41" s="342"/>
      <c r="G41" s="342"/>
    </row>
    <row r="42" spans="1:7" ht="15.9" customHeight="1">
      <c r="A42" s="381"/>
      <c r="B42" s="342"/>
      <c r="C42" s="342"/>
      <c r="D42" s="342"/>
      <c r="E42" s="342"/>
      <c r="F42" s="342"/>
      <c r="G42" s="342"/>
    </row>
    <row r="43" spans="1:7" ht="15.9" customHeight="1">
      <c r="A43" s="382" t="s">
        <v>212</v>
      </c>
      <c r="B43" s="342"/>
      <c r="C43" s="342"/>
      <c r="D43" s="342"/>
      <c r="E43" s="342"/>
      <c r="F43" s="342"/>
      <c r="G43" s="342"/>
    </row>
    <row r="44" spans="1:7" ht="15.9" customHeight="1">
      <c r="A44" s="404"/>
      <c r="B44" s="342"/>
      <c r="C44" s="342"/>
      <c r="D44" s="342"/>
      <c r="E44" s="342"/>
      <c r="F44" s="342"/>
      <c r="G44" s="342"/>
    </row>
    <row r="45" spans="1:7" ht="15.9" customHeight="1">
      <c r="A45" s="383"/>
      <c r="B45" s="405">
        <v>-1</v>
      </c>
      <c r="C45" s="405">
        <v>-2</v>
      </c>
      <c r="D45" s="405">
        <v>-3</v>
      </c>
      <c r="E45" s="405">
        <v>-4</v>
      </c>
      <c r="F45" s="405">
        <v>-5</v>
      </c>
      <c r="G45" s="405" t="s">
        <v>197</v>
      </c>
    </row>
    <row r="46" spans="1:7" ht="15.9" customHeight="1">
      <c r="A46" s="394" t="s">
        <v>181</v>
      </c>
      <c r="B46" s="406" t="s">
        <v>198</v>
      </c>
      <c r="C46" s="406" t="s">
        <v>213</v>
      </c>
      <c r="D46" s="406" t="s">
        <v>214</v>
      </c>
      <c r="E46" s="406" t="s">
        <v>201</v>
      </c>
      <c r="F46" s="406" t="s">
        <v>183</v>
      </c>
      <c r="G46" s="406" t="s">
        <v>203</v>
      </c>
    </row>
    <row r="47" spans="1:7" ht="15.9" customHeight="1">
      <c r="A47" s="396"/>
      <c r="B47" s="406" t="s">
        <v>204</v>
      </c>
      <c r="C47" s="406" t="s">
        <v>215</v>
      </c>
      <c r="D47" s="397"/>
      <c r="E47" s="406" t="s">
        <v>216</v>
      </c>
      <c r="F47" s="406" t="s">
        <v>151</v>
      </c>
      <c r="G47" s="406" t="s">
        <v>19</v>
      </c>
    </row>
    <row r="48" spans="1:7" ht="15.9" customHeight="1">
      <c r="A48" s="387"/>
      <c r="B48" s="407" t="s">
        <v>184</v>
      </c>
      <c r="C48" s="399"/>
      <c r="D48" s="399"/>
      <c r="E48" s="399"/>
      <c r="F48" s="399"/>
      <c r="G48" s="407" t="s">
        <v>185</v>
      </c>
    </row>
    <row r="49" spans="1:7" ht="15.9" customHeight="1">
      <c r="A49" s="577" t="s">
        <v>186</v>
      </c>
      <c r="B49" s="400" t="s">
        <v>217</v>
      </c>
      <c r="C49" s="575" t="s">
        <v>218</v>
      </c>
      <c r="D49" s="400" t="s">
        <v>219</v>
      </c>
      <c r="E49" s="573">
        <v>1.5800000000000001E-5</v>
      </c>
      <c r="F49" s="567"/>
      <c r="G49" s="567">
        <f>F49*E49</f>
        <v>0</v>
      </c>
    </row>
    <row r="50" spans="1:7" ht="15.9" customHeight="1">
      <c r="A50" s="578"/>
      <c r="B50" s="401" t="s">
        <v>220</v>
      </c>
      <c r="C50" s="576"/>
      <c r="D50" s="408">
        <v>1148.4000000000001</v>
      </c>
      <c r="E50" s="574"/>
      <c r="F50" s="568"/>
      <c r="G50" s="568"/>
    </row>
    <row r="51" spans="1:7" ht="15.9" customHeight="1">
      <c r="A51" s="577" t="s">
        <v>189</v>
      </c>
      <c r="B51" s="400" t="s">
        <v>210</v>
      </c>
      <c r="C51" s="575" t="s">
        <v>218</v>
      </c>
      <c r="D51" s="409" t="s">
        <v>221</v>
      </c>
      <c r="E51" s="573">
        <v>6.3299999999999994E-5</v>
      </c>
      <c r="F51" s="567"/>
      <c r="G51" s="567">
        <f>F51*E51</f>
        <v>0</v>
      </c>
    </row>
    <row r="52" spans="1:7" ht="15.9" customHeight="1">
      <c r="A52" s="578"/>
      <c r="B52" s="401" t="s">
        <v>222</v>
      </c>
      <c r="C52" s="576"/>
      <c r="D52" s="408">
        <v>1148.4000000000001</v>
      </c>
      <c r="E52" s="574"/>
      <c r="F52" s="568"/>
      <c r="G52" s="568"/>
    </row>
    <row r="53" spans="1:7" ht="15.9" customHeight="1">
      <c r="A53" s="561" t="s">
        <v>19</v>
      </c>
      <c r="B53" s="562"/>
      <c r="C53" s="562"/>
      <c r="D53" s="562"/>
      <c r="E53" s="562"/>
      <c r="F53" s="563"/>
      <c r="G53" s="569">
        <f>G49+G51</f>
        <v>0</v>
      </c>
    </row>
    <row r="54" spans="1:7" ht="15.9" customHeight="1">
      <c r="A54" s="564"/>
      <c r="B54" s="565"/>
      <c r="C54" s="565"/>
      <c r="D54" s="565"/>
      <c r="E54" s="565"/>
      <c r="F54" s="566"/>
      <c r="G54" s="570"/>
    </row>
    <row r="55" spans="1:7" ht="15.9" customHeight="1">
      <c r="A55" s="382"/>
      <c r="B55" s="342"/>
      <c r="C55" s="342"/>
      <c r="D55" s="342"/>
      <c r="E55" s="342"/>
      <c r="F55" s="342"/>
      <c r="G55" s="342"/>
    </row>
    <row r="56" spans="1:7" ht="15.9" customHeight="1">
      <c r="A56" s="382"/>
      <c r="B56" s="342"/>
      <c r="C56" s="342"/>
      <c r="D56" s="342"/>
      <c r="E56" s="342"/>
      <c r="F56" s="342"/>
      <c r="G56" s="342"/>
    </row>
    <row r="57" spans="1:7" ht="15.9" customHeight="1">
      <c r="A57" s="382" t="s">
        <v>223</v>
      </c>
      <c r="B57" s="342"/>
      <c r="C57" s="342"/>
      <c r="D57" s="342"/>
      <c r="E57" s="342"/>
      <c r="F57" s="342"/>
      <c r="G57" s="342"/>
    </row>
    <row r="58" spans="1:7" ht="15.9" customHeight="1">
      <c r="A58" s="382"/>
      <c r="B58" s="342"/>
      <c r="C58" s="342"/>
      <c r="D58" s="342"/>
      <c r="E58" s="342"/>
      <c r="F58" s="342"/>
      <c r="G58" s="342"/>
    </row>
    <row r="59" spans="1:7" ht="15.9" customHeight="1">
      <c r="A59" s="383"/>
      <c r="B59" s="410">
        <v>-1</v>
      </c>
      <c r="C59" s="410">
        <v>-2</v>
      </c>
      <c r="D59" s="410" t="s">
        <v>180</v>
      </c>
      <c r="E59" s="342"/>
      <c r="F59" s="342"/>
      <c r="G59" s="342"/>
    </row>
    <row r="60" spans="1:7" ht="15.9" customHeight="1">
      <c r="A60" s="385" t="s">
        <v>181</v>
      </c>
      <c r="B60" s="411" t="s">
        <v>182</v>
      </c>
      <c r="C60" s="411" t="s">
        <v>183</v>
      </c>
      <c r="D60" s="411" t="s">
        <v>164</v>
      </c>
      <c r="E60" s="342"/>
      <c r="F60" s="342"/>
      <c r="G60" s="342"/>
    </row>
    <row r="61" spans="1:7" ht="15.9" customHeight="1">
      <c r="A61" s="387"/>
      <c r="B61" s="412" t="s">
        <v>184</v>
      </c>
      <c r="C61" s="412" t="s">
        <v>151</v>
      </c>
      <c r="D61" s="412" t="s">
        <v>185</v>
      </c>
      <c r="E61" s="342"/>
      <c r="F61" s="342"/>
      <c r="G61" s="342"/>
    </row>
    <row r="62" spans="1:7" ht="15.9" customHeight="1">
      <c r="A62" s="579" t="s">
        <v>186</v>
      </c>
      <c r="B62" s="389" t="s">
        <v>224</v>
      </c>
      <c r="C62" s="567"/>
      <c r="D62" s="567">
        <f>C62/(30*330)</f>
        <v>0</v>
      </c>
      <c r="E62" s="342"/>
      <c r="F62" s="342"/>
      <c r="G62" s="342"/>
    </row>
    <row r="63" spans="1:7" ht="15.9" customHeight="1">
      <c r="A63" s="580"/>
      <c r="B63" s="390" t="s">
        <v>225</v>
      </c>
      <c r="C63" s="568"/>
      <c r="D63" s="568"/>
      <c r="E63" s="342"/>
      <c r="F63" s="342"/>
      <c r="G63" s="342"/>
    </row>
    <row r="64" spans="1:7" ht="15.9" customHeight="1">
      <c r="A64" s="579" t="s">
        <v>189</v>
      </c>
      <c r="B64" s="389" t="s">
        <v>226</v>
      </c>
      <c r="C64" s="567"/>
      <c r="D64" s="567">
        <f>C64/330</f>
        <v>0</v>
      </c>
      <c r="E64" s="342"/>
      <c r="F64" s="342"/>
      <c r="G64" s="342"/>
    </row>
    <row r="65" spans="1:7" ht="15.9" customHeight="1">
      <c r="A65" s="580"/>
      <c r="B65" s="390" t="s">
        <v>227</v>
      </c>
      <c r="C65" s="568"/>
      <c r="D65" s="568"/>
      <c r="E65" s="342"/>
      <c r="F65" s="342"/>
      <c r="G65" s="342"/>
    </row>
    <row r="66" spans="1:7" ht="15.9" customHeight="1">
      <c r="A66" s="561" t="s">
        <v>19</v>
      </c>
      <c r="B66" s="562"/>
      <c r="C66" s="563"/>
      <c r="D66" s="569">
        <f>D62+D64</f>
        <v>0</v>
      </c>
      <c r="E66" s="342"/>
      <c r="F66" s="342"/>
      <c r="G66" s="342"/>
    </row>
    <row r="67" spans="1:7" ht="15.9" customHeight="1">
      <c r="A67" s="564"/>
      <c r="B67" s="565"/>
      <c r="C67" s="566"/>
      <c r="D67" s="570"/>
      <c r="E67" s="342"/>
      <c r="F67" s="342"/>
      <c r="G67" s="342"/>
    </row>
    <row r="68" spans="1:7" ht="15.9" customHeight="1">
      <c r="A68" s="382"/>
      <c r="B68" s="342"/>
      <c r="C68" s="342"/>
      <c r="D68" s="342"/>
      <c r="E68" s="342"/>
      <c r="F68" s="342"/>
      <c r="G68" s="342"/>
    </row>
    <row r="69" spans="1:7" ht="22.5" customHeight="1">
      <c r="A69" s="589" t="s">
        <v>228</v>
      </c>
      <c r="B69" s="589"/>
      <c r="C69" s="589"/>
      <c r="D69" s="589"/>
      <c r="E69" s="589"/>
      <c r="F69" s="589"/>
      <c r="G69" s="589"/>
    </row>
    <row r="70" spans="1:7" ht="22.5" customHeight="1">
      <c r="A70" s="589" t="s">
        <v>229</v>
      </c>
      <c r="B70" s="589"/>
      <c r="C70" s="589"/>
      <c r="D70" s="589"/>
      <c r="E70" s="589"/>
      <c r="F70" s="589"/>
      <c r="G70" s="589"/>
    </row>
    <row r="71" spans="1:7" ht="26.25" customHeight="1">
      <c r="A71" s="589" t="s">
        <v>230</v>
      </c>
      <c r="B71" s="589"/>
      <c r="C71" s="589"/>
      <c r="D71" s="589"/>
      <c r="E71" s="589"/>
      <c r="F71" s="589"/>
      <c r="G71" s="589"/>
    </row>
    <row r="72" spans="1:7">
      <c r="A72" s="381"/>
      <c r="B72" s="342"/>
      <c r="C72" s="342"/>
      <c r="D72" s="342"/>
      <c r="E72" s="342"/>
      <c r="F72" s="342"/>
      <c r="G72" s="342"/>
    </row>
    <row r="73" spans="1:7">
      <c r="A73" s="381"/>
      <c r="B73" s="342"/>
      <c r="C73" s="342"/>
      <c r="D73" s="342"/>
      <c r="E73" s="342"/>
      <c r="F73" s="342"/>
      <c r="G73" s="342"/>
    </row>
    <row r="74" spans="1:7" ht="16.2">
      <c r="A74" s="590" t="s">
        <v>231</v>
      </c>
      <c r="B74" s="590"/>
      <c r="C74" s="590"/>
      <c r="D74" s="590"/>
      <c r="E74" s="590"/>
      <c r="F74" s="590"/>
      <c r="G74" s="590"/>
    </row>
    <row r="75" spans="1:7">
      <c r="A75" s="413"/>
      <c r="B75" s="342"/>
      <c r="C75" s="342"/>
      <c r="D75" s="342"/>
      <c r="E75" s="342"/>
      <c r="F75" s="342"/>
      <c r="G75" s="342"/>
    </row>
    <row r="76" spans="1:7">
      <c r="A76" s="389"/>
      <c r="B76" s="384" t="s">
        <v>232</v>
      </c>
      <c r="C76" s="384" t="s">
        <v>233</v>
      </c>
      <c r="D76" s="384" t="s">
        <v>164</v>
      </c>
      <c r="E76" s="342"/>
      <c r="F76" s="342"/>
      <c r="G76" s="342"/>
    </row>
    <row r="77" spans="1:7">
      <c r="A77" s="388" t="s">
        <v>234</v>
      </c>
      <c r="B77" s="388" t="s">
        <v>235</v>
      </c>
      <c r="C77" s="388" t="s">
        <v>236</v>
      </c>
      <c r="D77" s="388" t="s">
        <v>151</v>
      </c>
      <c r="E77" s="342"/>
      <c r="F77" s="342"/>
      <c r="G77" s="342"/>
    </row>
    <row r="78" spans="1:7">
      <c r="A78" s="414" t="s">
        <v>237</v>
      </c>
      <c r="B78" s="415">
        <f>D14</f>
        <v>0</v>
      </c>
      <c r="C78" s="415"/>
      <c r="D78" s="416">
        <f t="shared" ref="D78:D83" si="0">B78*C78</f>
        <v>0</v>
      </c>
      <c r="E78" s="342"/>
      <c r="F78" s="342"/>
      <c r="G78" s="342"/>
    </row>
    <row r="79" spans="1:7">
      <c r="A79" s="414" t="s">
        <v>238</v>
      </c>
      <c r="B79" s="415">
        <f>D26</f>
        <v>0</v>
      </c>
      <c r="C79" s="415"/>
      <c r="D79" s="416">
        <f t="shared" si="0"/>
        <v>0</v>
      </c>
      <c r="E79" s="342"/>
      <c r="F79" s="342"/>
      <c r="G79" s="342"/>
    </row>
    <row r="80" spans="1:7">
      <c r="A80" s="414" t="s">
        <v>239</v>
      </c>
      <c r="B80" s="415">
        <f>-G39</f>
        <v>0</v>
      </c>
      <c r="C80" s="415"/>
      <c r="D80" s="416">
        <f t="shared" si="0"/>
        <v>0</v>
      </c>
      <c r="E80" s="342"/>
      <c r="F80" s="342"/>
      <c r="G80" s="342"/>
    </row>
    <row r="81" spans="1:7">
      <c r="A81" s="414" t="s">
        <v>240</v>
      </c>
      <c r="B81" s="415">
        <f>G53</f>
        <v>0</v>
      </c>
      <c r="C81" s="415"/>
      <c r="D81" s="416">
        <f t="shared" si="0"/>
        <v>0</v>
      </c>
      <c r="E81" s="342"/>
      <c r="F81" s="342"/>
      <c r="G81" s="342"/>
    </row>
    <row r="82" spans="1:7">
      <c r="A82" s="414" t="s">
        <v>241</v>
      </c>
      <c r="B82" s="415">
        <f>D66</f>
        <v>0</v>
      </c>
      <c r="C82" s="415"/>
      <c r="D82" s="416">
        <f t="shared" si="0"/>
        <v>0</v>
      </c>
      <c r="E82" s="342"/>
      <c r="F82" s="342"/>
      <c r="G82" s="342"/>
    </row>
    <row r="83" spans="1:7">
      <c r="A83" s="414" t="s">
        <v>175</v>
      </c>
      <c r="B83" s="415">
        <v>0</v>
      </c>
      <c r="C83" s="415"/>
      <c r="D83" s="416">
        <f t="shared" si="0"/>
        <v>0</v>
      </c>
      <c r="E83" s="342"/>
      <c r="F83" s="342"/>
      <c r="G83" s="342"/>
    </row>
    <row r="84" spans="1:7">
      <c r="A84" s="583" t="s">
        <v>19</v>
      </c>
      <c r="B84" s="584"/>
      <c r="C84" s="585"/>
      <c r="D84" s="581">
        <f>SUM(D78:D83)</f>
        <v>0</v>
      </c>
      <c r="E84" s="342"/>
      <c r="F84" s="342"/>
      <c r="G84" s="342"/>
    </row>
    <row r="85" spans="1:7">
      <c r="A85" s="586"/>
      <c r="B85" s="587"/>
      <c r="C85" s="588"/>
      <c r="D85" s="582"/>
      <c r="E85" s="342"/>
      <c r="F85" s="342"/>
      <c r="G85" s="342"/>
    </row>
  </sheetData>
  <mergeCells count="57">
    <mergeCell ref="A1:E1"/>
    <mergeCell ref="A3:E3"/>
    <mergeCell ref="A5:G5"/>
    <mergeCell ref="A14:C14"/>
    <mergeCell ref="A17:G17"/>
    <mergeCell ref="A26:C26"/>
    <mergeCell ref="C10:C11"/>
    <mergeCell ref="C12:C13"/>
    <mergeCell ref="C22:C23"/>
    <mergeCell ref="C24:C25"/>
    <mergeCell ref="A71:G71"/>
    <mergeCell ref="A74:G74"/>
    <mergeCell ref="A10:A11"/>
    <mergeCell ref="A12:A13"/>
    <mergeCell ref="A22:A23"/>
    <mergeCell ref="A24:A25"/>
    <mergeCell ref="A35:A36"/>
    <mergeCell ref="A64:A65"/>
    <mergeCell ref="C35:C36"/>
    <mergeCell ref="A29:G29"/>
    <mergeCell ref="D10:D11"/>
    <mergeCell ref="D12:D13"/>
    <mergeCell ref="D22:D23"/>
    <mergeCell ref="D24:D25"/>
    <mergeCell ref="E35:E36"/>
    <mergeCell ref="F35:F36"/>
    <mergeCell ref="A37:A38"/>
    <mergeCell ref="A49:A50"/>
    <mergeCell ref="A51:A52"/>
    <mergeCell ref="A62:A63"/>
    <mergeCell ref="D84:D85"/>
    <mergeCell ref="C62:C63"/>
    <mergeCell ref="C64:C65"/>
    <mergeCell ref="A84:C85"/>
    <mergeCell ref="A69:G69"/>
    <mergeCell ref="A70:G70"/>
    <mergeCell ref="E37:E38"/>
    <mergeCell ref="E49:E50"/>
    <mergeCell ref="E51:E52"/>
    <mergeCell ref="C37:C38"/>
    <mergeCell ref="C49:C50"/>
    <mergeCell ref="C51:C52"/>
    <mergeCell ref="D64:D65"/>
    <mergeCell ref="D66:D67"/>
    <mergeCell ref="G53:G54"/>
    <mergeCell ref="A39:F40"/>
    <mergeCell ref="A53:F54"/>
    <mergeCell ref="A66:C67"/>
    <mergeCell ref="D62:D63"/>
    <mergeCell ref="F37:F38"/>
    <mergeCell ref="F49:F50"/>
    <mergeCell ref="F51:F52"/>
    <mergeCell ref="G35:G36"/>
    <mergeCell ref="G37:G38"/>
    <mergeCell ref="G39:G40"/>
    <mergeCell ref="G49:G50"/>
    <mergeCell ref="G51:G52"/>
  </mergeCells>
  <printOptions horizontalCentered="1"/>
  <pageMargins left="0.39370078740157483" right="0.19685039370078741" top="1.6535433070866143" bottom="0.78740157480314965" header="0.51181102362204722" footer="0.51181102362204722"/>
  <pageSetup paperSize="9" scale="57" orientation="portrait" r:id="rId1"/>
  <headerFooter alignWithMargins="0"/>
  <rowBreaks count="1" manualBreakCount="1">
    <brk id="71" max="6"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114" zoomScale="85" zoomScaleNormal="85" workbookViewId="0">
      <selection activeCell="N153" sqref="N153:P157"/>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CÁLCULO'!B56</f>
        <v>São Mateus/ES</v>
      </c>
      <c r="O12" s="740"/>
      <c r="P12" s="741"/>
    </row>
    <row r="13" spans="1:16" ht="15.6">
      <c r="A13" s="7" t="s">
        <v>30</v>
      </c>
      <c r="B13" s="680" t="s">
        <v>455</v>
      </c>
      <c r="C13" s="681"/>
      <c r="D13" s="681"/>
      <c r="E13" s="681"/>
      <c r="F13" s="681"/>
      <c r="G13" s="681"/>
      <c r="H13" s="681"/>
      <c r="I13" s="681"/>
      <c r="J13" s="681"/>
      <c r="K13" s="681"/>
      <c r="L13" s="681"/>
      <c r="M13" s="682"/>
      <c r="N13" s="739" t="str">
        <f>'BASE DE CÁLCULO'!D56</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CÁLCULO'!C56</f>
        <v>Supervisor de Cozinha</v>
      </c>
      <c r="B20" s="625"/>
      <c r="C20" s="625"/>
      <c r="D20" s="626"/>
      <c r="E20" s="751" t="s">
        <v>459</v>
      </c>
      <c r="F20" s="752"/>
      <c r="G20" s="752"/>
      <c r="H20" s="752"/>
      <c r="I20" s="752"/>
      <c r="J20" s="752"/>
      <c r="K20" s="752"/>
      <c r="L20" s="752"/>
      <c r="M20" s="753"/>
      <c r="N20" s="789">
        <f>'BASE DE CÁLCULO'!F56</f>
        <v>2</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Supervisor de Cozinha</v>
      </c>
      <c r="O30" s="740"/>
      <c r="P30" s="741"/>
    </row>
    <row r="31" spans="1:16" ht="15.6">
      <c r="A31" s="7">
        <v>2</v>
      </c>
      <c r="B31" s="680" t="s">
        <v>466</v>
      </c>
      <c r="C31" s="681"/>
      <c r="D31" s="681"/>
      <c r="E31" s="681"/>
      <c r="F31" s="681"/>
      <c r="G31" s="681"/>
      <c r="H31" s="681"/>
      <c r="I31" s="681"/>
      <c r="J31" s="681"/>
      <c r="K31" s="681"/>
      <c r="L31" s="681"/>
      <c r="M31" s="682"/>
      <c r="N31" s="781" t="s">
        <v>573</v>
      </c>
      <c r="O31" s="779"/>
      <c r="P31" s="780"/>
    </row>
    <row r="32" spans="1:16" ht="15.6">
      <c r="A32" s="7">
        <v>3</v>
      </c>
      <c r="B32" s="680" t="s">
        <v>468</v>
      </c>
      <c r="C32" s="681"/>
      <c r="D32" s="681"/>
      <c r="E32" s="681"/>
      <c r="F32" s="681"/>
      <c r="G32" s="681"/>
      <c r="H32" s="681"/>
      <c r="I32" s="681"/>
      <c r="J32" s="681"/>
      <c r="K32" s="681"/>
      <c r="L32" s="681"/>
      <c r="M32" s="682"/>
      <c r="N32" s="772">
        <f>'BASE DE CÁLCULO'!G56</f>
        <v>2961</v>
      </c>
      <c r="O32" s="773"/>
      <c r="P32" s="774"/>
    </row>
    <row r="33" spans="1:16" ht="15.6">
      <c r="A33" s="7">
        <v>4</v>
      </c>
      <c r="B33" s="680" t="s">
        <v>469</v>
      </c>
      <c r="C33" s="681"/>
      <c r="D33" s="681"/>
      <c r="E33" s="681"/>
      <c r="F33" s="681"/>
      <c r="G33" s="681"/>
      <c r="H33" s="681"/>
      <c r="I33" s="681"/>
      <c r="J33" s="681"/>
      <c r="K33" s="681"/>
      <c r="L33" s="681"/>
      <c r="M33" s="682"/>
      <c r="N33" s="782" t="str">
        <f>'BASE DE CÁLCULO'!E56</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2961</v>
      </c>
      <c r="O39" s="773"/>
      <c r="P39" s="774"/>
    </row>
    <row r="40" spans="1:16" ht="15.6">
      <c r="A40" s="7" t="s">
        <v>27</v>
      </c>
      <c r="B40" s="680" t="s">
        <v>474</v>
      </c>
      <c r="C40" s="681"/>
      <c r="D40" s="681"/>
      <c r="E40" s="681"/>
      <c r="F40" s="681"/>
      <c r="G40" s="681"/>
      <c r="H40" s="681"/>
      <c r="I40" s="681"/>
      <c r="J40" s="681"/>
      <c r="K40" s="681"/>
      <c r="L40" s="681"/>
      <c r="M40" s="682"/>
      <c r="N40" s="772" t="str">
        <f>'BASE DE CÁLCULO'!I56</f>
        <v>-</v>
      </c>
      <c r="O40" s="773"/>
      <c r="P40" s="774"/>
    </row>
    <row r="41" spans="1:16" ht="15.6">
      <c r="A41" s="7" t="s">
        <v>30</v>
      </c>
      <c r="B41" s="680" t="s">
        <v>475</v>
      </c>
      <c r="C41" s="681"/>
      <c r="D41" s="681"/>
      <c r="E41" s="681"/>
      <c r="F41" s="681"/>
      <c r="G41" s="681"/>
      <c r="H41" s="681"/>
      <c r="I41" s="681"/>
      <c r="J41" s="681"/>
      <c r="K41" s="681"/>
      <c r="L41" s="681"/>
      <c r="M41" s="682"/>
      <c r="N41" s="772">
        <f>'BASE DE CÁLCULO'!J56</f>
        <v>242.4</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3203.4</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365.19</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486.92</v>
      </c>
      <c r="O53" s="773"/>
      <c r="P53" s="774"/>
    </row>
    <row r="54" spans="1:16" ht="15.6">
      <c r="A54" s="633" t="s">
        <v>480</v>
      </c>
      <c r="B54" s="634"/>
      <c r="C54" s="634"/>
      <c r="D54" s="634"/>
      <c r="E54" s="634"/>
      <c r="F54" s="634"/>
      <c r="G54" s="634"/>
      <c r="H54" s="634"/>
      <c r="I54" s="634"/>
      <c r="J54" s="634"/>
      <c r="K54" s="634"/>
      <c r="L54" s="634"/>
      <c r="M54" s="635"/>
      <c r="N54" s="775">
        <f>SUM(N52:P53)</f>
        <v>852.11</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640.67999999999995</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80.09</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96.1</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48.05</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32.03</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19.22</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6.41</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256.27</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1178.8499999999999</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CÁLCULO'!K56</f>
        <v>60.27</v>
      </c>
      <c r="O75" s="773"/>
      <c r="P75" s="774"/>
    </row>
    <row r="76" spans="1:16" ht="16.5" customHeight="1">
      <c r="A76" s="7" t="s">
        <v>27</v>
      </c>
      <c r="B76" s="680" t="s">
        <v>331</v>
      </c>
      <c r="C76" s="681"/>
      <c r="D76" s="681"/>
      <c r="E76" s="681"/>
      <c r="F76" s="681"/>
      <c r="G76" s="681"/>
      <c r="H76" s="681"/>
      <c r="I76" s="681"/>
      <c r="J76" s="681"/>
      <c r="K76" s="681"/>
      <c r="L76" s="681"/>
      <c r="M76" s="682"/>
      <c r="N76" s="772">
        <f>'BASE DE CÁLCULO'!L56</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CÁLCULO'!N56</f>
        <v>230.26</v>
      </c>
      <c r="O77" s="773"/>
      <c r="P77" s="774"/>
    </row>
    <row r="78" spans="1:16" ht="15.6">
      <c r="A78" s="7" t="s">
        <v>32</v>
      </c>
      <c r="B78" s="680" t="s">
        <v>509</v>
      </c>
      <c r="C78" s="681"/>
      <c r="D78" s="681"/>
      <c r="E78" s="681"/>
      <c r="F78" s="681"/>
      <c r="G78" s="681"/>
      <c r="H78" s="681"/>
      <c r="I78" s="681"/>
      <c r="J78" s="681"/>
      <c r="K78" s="681"/>
      <c r="L78" s="681"/>
      <c r="M78" s="682"/>
      <c r="N78" s="772">
        <f>'BASE DE CÁLCULO'!M56</f>
        <v>0</v>
      </c>
      <c r="O78" s="773"/>
      <c r="P78" s="774"/>
    </row>
    <row r="79" spans="1:16" ht="15.6">
      <c r="A79" s="7" t="s">
        <v>56</v>
      </c>
      <c r="B79" s="680" t="s">
        <v>510</v>
      </c>
      <c r="C79" s="681"/>
      <c r="D79" s="681"/>
      <c r="E79" s="681"/>
      <c r="F79" s="681"/>
      <c r="G79" s="681"/>
      <c r="H79" s="681"/>
      <c r="I79" s="681"/>
      <c r="J79" s="681"/>
      <c r="K79" s="681"/>
      <c r="L79" s="681"/>
      <c r="M79" s="682"/>
      <c r="N79" s="772">
        <f>'BASE DE CÁLCULO'!Q56</f>
        <v>25.3</v>
      </c>
      <c r="O79" s="773"/>
      <c r="P79" s="774"/>
    </row>
    <row r="80" spans="1:16" ht="15.6">
      <c r="A80" s="7" t="s">
        <v>58</v>
      </c>
      <c r="B80" s="680" t="s">
        <v>511</v>
      </c>
      <c r="C80" s="681"/>
      <c r="D80" s="681"/>
      <c r="E80" s="681"/>
      <c r="F80" s="681"/>
      <c r="G80" s="681"/>
      <c r="H80" s="681"/>
      <c r="I80" s="681"/>
      <c r="J80" s="681"/>
      <c r="K80" s="681"/>
      <c r="L80" s="681"/>
      <c r="M80" s="682"/>
      <c r="N80" s="714">
        <f>'BASE DE CÁLCULO'!S56</f>
        <v>140.28</v>
      </c>
      <c r="O80" s="715"/>
      <c r="P80" s="716"/>
    </row>
    <row r="81" spans="1:16" ht="16.2" customHeight="1">
      <c r="A81" s="7" t="s">
        <v>60</v>
      </c>
      <c r="B81" s="680" t="s">
        <v>334</v>
      </c>
      <c r="C81" s="681"/>
      <c r="D81" s="681"/>
      <c r="E81" s="681"/>
      <c r="F81" s="681"/>
      <c r="G81" s="681"/>
      <c r="H81" s="681"/>
      <c r="I81" s="681"/>
      <c r="J81" s="681"/>
      <c r="K81" s="681"/>
      <c r="L81" s="681"/>
      <c r="M81" s="682"/>
      <c r="N81" s="772">
        <f>'BASE DE CÁLCULO'!R56</f>
        <v>6.43</v>
      </c>
      <c r="O81" s="773"/>
      <c r="P81" s="774"/>
    </row>
    <row r="82" spans="1:16" ht="15.6">
      <c r="A82" s="633" t="s">
        <v>480</v>
      </c>
      <c r="B82" s="634"/>
      <c r="C82" s="634"/>
      <c r="D82" s="634"/>
      <c r="E82" s="634"/>
      <c r="F82" s="634"/>
      <c r="G82" s="634"/>
      <c r="H82" s="634"/>
      <c r="I82" s="634"/>
      <c r="J82" s="634"/>
      <c r="K82" s="634"/>
      <c r="L82" s="634"/>
      <c r="M82" s="635"/>
      <c r="N82" s="775">
        <f>SUM(N75:P81)</f>
        <v>620.65</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852.11</v>
      </c>
      <c r="O88" s="769"/>
      <c r="P88" s="770"/>
    </row>
    <row r="89" spans="1:16" ht="15.6">
      <c r="A89" s="11" t="s">
        <v>491</v>
      </c>
      <c r="B89" s="699" t="s">
        <v>518</v>
      </c>
      <c r="C89" s="700"/>
      <c r="D89" s="700"/>
      <c r="E89" s="700"/>
      <c r="F89" s="700"/>
      <c r="G89" s="700"/>
      <c r="H89" s="700"/>
      <c r="I89" s="700"/>
      <c r="J89" s="700"/>
      <c r="K89" s="700"/>
      <c r="L89" s="700"/>
      <c r="M89" s="701"/>
      <c r="N89" s="769">
        <f>N68</f>
        <v>1178.8499999999999</v>
      </c>
      <c r="O89" s="769"/>
      <c r="P89" s="770"/>
    </row>
    <row r="90" spans="1:16" ht="15.6">
      <c r="A90" s="9" t="s">
        <v>506</v>
      </c>
      <c r="B90" s="699" t="s">
        <v>519</v>
      </c>
      <c r="C90" s="700"/>
      <c r="D90" s="700"/>
      <c r="E90" s="700"/>
      <c r="F90" s="700"/>
      <c r="G90" s="700"/>
      <c r="H90" s="700"/>
      <c r="I90" s="700"/>
      <c r="J90" s="700"/>
      <c r="K90" s="700"/>
      <c r="L90" s="700"/>
      <c r="M90" s="701"/>
      <c r="N90" s="769">
        <f>N82</f>
        <v>620.65</v>
      </c>
      <c r="O90" s="769"/>
      <c r="P90" s="770"/>
    </row>
    <row r="91" spans="1:16" ht="15.6">
      <c r="A91" s="633" t="s">
        <v>480</v>
      </c>
      <c r="B91" s="702"/>
      <c r="C91" s="702"/>
      <c r="D91" s="702"/>
      <c r="E91" s="702"/>
      <c r="F91" s="702"/>
      <c r="G91" s="702"/>
      <c r="H91" s="702"/>
      <c r="I91" s="702"/>
      <c r="J91" s="702"/>
      <c r="K91" s="702"/>
      <c r="L91" s="702"/>
      <c r="M91" s="703"/>
      <c r="N91" s="765">
        <f>SUM(N88:P90)</f>
        <v>2651.61</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13.45</v>
      </c>
      <c r="O95" s="769"/>
      <c r="P95" s="770"/>
    </row>
    <row r="96" spans="1:16" ht="15.6">
      <c r="A96" s="7" t="s">
        <v>27</v>
      </c>
      <c r="B96" s="680" t="s">
        <v>522</v>
      </c>
      <c r="C96" s="681"/>
      <c r="D96" s="681"/>
      <c r="E96" s="681"/>
      <c r="F96" s="681"/>
      <c r="G96" s="681"/>
      <c r="H96" s="681"/>
      <c r="I96" s="681"/>
      <c r="J96" s="681"/>
      <c r="K96" s="681"/>
      <c r="L96" s="681"/>
      <c r="M96" s="682"/>
      <c r="N96" s="768">
        <f>N46*'BASE DE CÁLCULO'!C89</f>
        <v>0.96</v>
      </c>
      <c r="O96" s="769"/>
      <c r="P96" s="770"/>
    </row>
    <row r="97" spans="1:16" ht="15.6">
      <c r="A97" s="7" t="s">
        <v>30</v>
      </c>
      <c r="B97" s="680" t="s">
        <v>523</v>
      </c>
      <c r="C97" s="681"/>
      <c r="D97" s="681"/>
      <c r="E97" s="681"/>
      <c r="F97" s="681"/>
      <c r="G97" s="681"/>
      <c r="H97" s="681"/>
      <c r="I97" s="681"/>
      <c r="J97" s="681"/>
      <c r="K97" s="681"/>
      <c r="L97" s="681"/>
      <c r="M97" s="682"/>
      <c r="N97" s="768">
        <f>N46*'BASE DE CÁLCULO'!C90</f>
        <v>0.32</v>
      </c>
      <c r="O97" s="769"/>
      <c r="P97" s="770"/>
    </row>
    <row r="98" spans="1:16" ht="15.6">
      <c r="A98" s="7" t="s">
        <v>32</v>
      </c>
      <c r="B98" s="680" t="s">
        <v>524</v>
      </c>
      <c r="C98" s="681"/>
      <c r="D98" s="681"/>
      <c r="E98" s="681"/>
      <c r="F98" s="681"/>
      <c r="G98" s="681"/>
      <c r="H98" s="681"/>
      <c r="I98" s="681"/>
      <c r="J98" s="681"/>
      <c r="K98" s="681"/>
      <c r="L98" s="681"/>
      <c r="M98" s="682"/>
      <c r="N98" s="768">
        <f>N46*'BASE DE CÁLCULO'!C91</f>
        <v>62.15</v>
      </c>
      <c r="O98" s="769"/>
      <c r="P98" s="770"/>
    </row>
    <row r="99" spans="1:16" ht="15.6">
      <c r="A99" s="7" t="s">
        <v>56</v>
      </c>
      <c r="B99" s="680" t="s">
        <v>525</v>
      </c>
      <c r="C99" s="681"/>
      <c r="D99" s="681"/>
      <c r="E99" s="681"/>
      <c r="F99" s="681"/>
      <c r="G99" s="681"/>
      <c r="H99" s="681"/>
      <c r="I99" s="681"/>
      <c r="J99" s="681"/>
      <c r="K99" s="681"/>
      <c r="L99" s="681"/>
      <c r="M99" s="682"/>
      <c r="N99" s="768">
        <f>N46*'BASE DE CÁLCULO'!C92</f>
        <v>22.74</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1.92</v>
      </c>
      <c r="O100" s="684"/>
      <c r="P100" s="685"/>
    </row>
    <row r="101" spans="1:16" ht="15.6">
      <c r="A101" s="633" t="s">
        <v>480</v>
      </c>
      <c r="B101" s="634"/>
      <c r="C101" s="634"/>
      <c r="D101" s="634"/>
      <c r="E101" s="634"/>
      <c r="F101" s="634"/>
      <c r="G101" s="634"/>
      <c r="H101" s="634"/>
      <c r="I101" s="634"/>
      <c r="J101" s="634"/>
      <c r="K101" s="634"/>
      <c r="L101" s="634"/>
      <c r="M101" s="635"/>
      <c r="N101" s="765">
        <f>SUM(N95:P100)</f>
        <v>101.54</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365.19</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36.520000000000003</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60.86</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0.96</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14.74</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7.69</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2.56</v>
      </c>
      <c r="O115" s="769"/>
      <c r="P115" s="770"/>
    </row>
    <row r="116" spans="1:16" ht="15.6">
      <c r="A116" s="633" t="s">
        <v>480</v>
      </c>
      <c r="B116" s="634"/>
      <c r="C116" s="634"/>
      <c r="D116" s="634"/>
      <c r="E116" s="634"/>
      <c r="F116" s="634"/>
      <c r="G116" s="634"/>
      <c r="H116" s="634"/>
      <c r="I116" s="634"/>
      <c r="J116" s="634"/>
      <c r="K116" s="634"/>
      <c r="L116" s="634"/>
      <c r="M116" s="635"/>
      <c r="N116" s="765">
        <f>SUM(N109:P115)</f>
        <v>488.52</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488.52</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488.52</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CÁLCULO'!O56</f>
        <v>139.91</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CÁLCULO'!P56</f>
        <v>1.91</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141.82</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329.34</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691.62</v>
      </c>
      <c r="O142" s="684"/>
      <c r="P142" s="685"/>
    </row>
    <row r="143" spans="1:16" ht="16.5" customHeight="1">
      <c r="A143" s="7" t="s">
        <v>30</v>
      </c>
      <c r="B143" s="633" t="s">
        <v>552</v>
      </c>
      <c r="C143" s="634"/>
      <c r="D143" s="634"/>
      <c r="E143" s="634"/>
      <c r="F143" s="634"/>
      <c r="G143" s="634"/>
      <c r="H143" s="634"/>
      <c r="I143" s="634"/>
      <c r="J143" s="634"/>
      <c r="K143" s="635"/>
      <c r="L143" s="694">
        <f>SUM(L144:M146)</f>
        <v>0.13250000000000001</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811.21</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CÁLCULO'!C71</f>
        <v>0.04</v>
      </c>
      <c r="M146" s="626"/>
      <c r="N146" s="683">
        <f>(($N$158+$N$141+$N$142)/(100%-$L$143))*L146</f>
        <v>350.79</v>
      </c>
      <c r="O146" s="684"/>
      <c r="P146" s="685"/>
    </row>
    <row r="147" spans="1:17" ht="15.6">
      <c r="A147" s="633" t="s">
        <v>480</v>
      </c>
      <c r="B147" s="634"/>
      <c r="C147" s="634"/>
      <c r="D147" s="634"/>
      <c r="E147" s="634"/>
      <c r="F147" s="634"/>
      <c r="G147" s="634"/>
      <c r="H147" s="634"/>
      <c r="I147" s="634"/>
      <c r="J147" s="634"/>
      <c r="K147" s="635"/>
      <c r="L147" s="694">
        <f>SUM(L141:M143)</f>
        <v>0.28249999999999997</v>
      </c>
      <c r="M147" s="620"/>
      <c r="N147" s="765">
        <f>SUM(N141:P146)</f>
        <v>2182.96</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3203.4</v>
      </c>
      <c r="O153" s="769"/>
      <c r="P153" s="770"/>
    </row>
    <row r="154" spans="1:17" ht="15.6">
      <c r="A154" s="7" t="s">
        <v>27</v>
      </c>
      <c r="B154" s="680" t="s">
        <v>561</v>
      </c>
      <c r="C154" s="681"/>
      <c r="D154" s="681"/>
      <c r="E154" s="681"/>
      <c r="F154" s="681"/>
      <c r="G154" s="681"/>
      <c r="H154" s="681"/>
      <c r="I154" s="681"/>
      <c r="J154" s="681"/>
      <c r="K154" s="681"/>
      <c r="L154" s="681"/>
      <c r="M154" s="682"/>
      <c r="N154" s="768">
        <f>N91</f>
        <v>2651.61</v>
      </c>
      <c r="O154" s="769"/>
      <c r="P154" s="770"/>
    </row>
    <row r="155" spans="1:17" ht="15.6">
      <c r="A155" s="7" t="s">
        <v>30</v>
      </c>
      <c r="B155" s="680" t="s">
        <v>562</v>
      </c>
      <c r="C155" s="681"/>
      <c r="D155" s="681"/>
      <c r="E155" s="681"/>
      <c r="F155" s="681"/>
      <c r="G155" s="681"/>
      <c r="H155" s="681"/>
      <c r="I155" s="681"/>
      <c r="J155" s="681"/>
      <c r="K155" s="681"/>
      <c r="L155" s="681"/>
      <c r="M155" s="682"/>
      <c r="N155" s="768">
        <f>N101</f>
        <v>101.54</v>
      </c>
      <c r="O155" s="769"/>
      <c r="P155" s="770"/>
    </row>
    <row r="156" spans="1:17" ht="15.6">
      <c r="A156" s="7" t="s">
        <v>32</v>
      </c>
      <c r="B156" s="680" t="s">
        <v>563</v>
      </c>
      <c r="C156" s="681"/>
      <c r="D156" s="681"/>
      <c r="E156" s="681"/>
      <c r="F156" s="681"/>
      <c r="G156" s="681"/>
      <c r="H156" s="681"/>
      <c r="I156" s="681"/>
      <c r="J156" s="681"/>
      <c r="K156" s="681"/>
      <c r="L156" s="681"/>
      <c r="M156" s="682"/>
      <c r="N156" s="768">
        <f>N129</f>
        <v>488.52</v>
      </c>
      <c r="O156" s="769"/>
      <c r="P156" s="770"/>
    </row>
    <row r="157" spans="1:17" ht="15.6">
      <c r="A157" s="7" t="s">
        <v>56</v>
      </c>
      <c r="B157" s="680" t="s">
        <v>564</v>
      </c>
      <c r="C157" s="681"/>
      <c r="D157" s="681"/>
      <c r="E157" s="681"/>
      <c r="F157" s="681"/>
      <c r="G157" s="681"/>
      <c r="H157" s="681"/>
      <c r="I157" s="681"/>
      <c r="J157" s="681"/>
      <c r="K157" s="681"/>
      <c r="L157" s="681"/>
      <c r="M157" s="682"/>
      <c r="N157" s="768">
        <f>N136</f>
        <v>141.82</v>
      </c>
      <c r="O157" s="769"/>
      <c r="P157" s="770"/>
    </row>
    <row r="158" spans="1:17" ht="15.6">
      <c r="A158" s="633" t="s">
        <v>565</v>
      </c>
      <c r="B158" s="634"/>
      <c r="C158" s="634"/>
      <c r="D158" s="634"/>
      <c r="E158" s="634"/>
      <c r="F158" s="634"/>
      <c r="G158" s="634"/>
      <c r="H158" s="634"/>
      <c r="I158" s="634"/>
      <c r="J158" s="634"/>
      <c r="K158" s="634"/>
      <c r="L158" s="634"/>
      <c r="M158" s="635"/>
      <c r="N158" s="765">
        <f>SUM(N153:P157)</f>
        <v>6586.89</v>
      </c>
      <c r="O158" s="766"/>
      <c r="P158" s="767"/>
    </row>
    <row r="159" spans="1:17" ht="15.6">
      <c r="A159" s="7" t="s">
        <v>58</v>
      </c>
      <c r="B159" s="680" t="s">
        <v>566</v>
      </c>
      <c r="C159" s="681"/>
      <c r="D159" s="681"/>
      <c r="E159" s="681"/>
      <c r="F159" s="681"/>
      <c r="G159" s="681"/>
      <c r="H159" s="681"/>
      <c r="I159" s="681"/>
      <c r="J159" s="681"/>
      <c r="K159" s="681"/>
      <c r="L159" s="681"/>
      <c r="M159" s="682"/>
      <c r="N159" s="768">
        <f>N147</f>
        <v>2182.96</v>
      </c>
      <c r="O159" s="769"/>
      <c r="P159" s="770"/>
    </row>
    <row r="160" spans="1:17" ht="15.6">
      <c r="A160" s="633" t="s">
        <v>567</v>
      </c>
      <c r="B160" s="634"/>
      <c r="C160" s="634"/>
      <c r="D160" s="634"/>
      <c r="E160" s="634"/>
      <c r="F160" s="634"/>
      <c r="G160" s="634"/>
      <c r="H160" s="634"/>
      <c r="I160" s="634"/>
      <c r="J160" s="634"/>
      <c r="K160" s="634"/>
      <c r="L160" s="634"/>
      <c r="M160" s="635"/>
      <c r="N160" s="765">
        <f>SUM(N158:P159)</f>
        <v>8769.85</v>
      </c>
      <c r="O160" s="766"/>
      <c r="P160" s="767"/>
    </row>
    <row r="161" spans="1:16" ht="15.6">
      <c r="A161" s="633" t="s">
        <v>568</v>
      </c>
      <c r="B161" s="634"/>
      <c r="C161" s="634"/>
      <c r="D161" s="634"/>
      <c r="E161" s="634"/>
      <c r="F161" s="634"/>
      <c r="G161" s="634"/>
      <c r="H161" s="634"/>
      <c r="I161" s="634"/>
      <c r="J161" s="634"/>
      <c r="K161" s="634"/>
      <c r="L161" s="634"/>
      <c r="M161" s="635"/>
      <c r="N161" s="665">
        <f>N160*N20</f>
        <v>17539.7</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1"/>
  <sheetViews>
    <sheetView showGridLines="0" topLeftCell="A25" zoomScale="85" zoomScaleNormal="85" workbookViewId="0">
      <selection activeCell="A25" sqref="A25:P25"/>
    </sheetView>
  </sheetViews>
  <sheetFormatPr defaultColWidth="9.109375" defaultRowHeight="13.2"/>
  <cols>
    <col min="16" max="16" width="11.109375" customWidth="1"/>
  </cols>
  <sheetData>
    <row r="1" spans="1:16" ht="15.6">
      <c r="A1" s="2"/>
      <c r="B1" s="3"/>
      <c r="C1" s="3"/>
      <c r="D1" s="3"/>
      <c r="E1" s="3"/>
      <c r="F1" s="3"/>
      <c r="G1" s="3"/>
      <c r="H1" s="3"/>
      <c r="I1" s="3"/>
      <c r="J1" s="3"/>
      <c r="K1" s="3"/>
      <c r="L1" s="3"/>
      <c r="M1" s="3"/>
      <c r="N1" s="3"/>
      <c r="O1" s="3"/>
      <c r="P1" s="3"/>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3"/>
      <c r="O3" s="3"/>
      <c r="P3" s="3"/>
    </row>
    <row r="4" spans="1:16" ht="16.2" customHeight="1">
      <c r="A4" s="680" t="s">
        <v>448</v>
      </c>
      <c r="B4" s="681"/>
      <c r="C4" s="759"/>
      <c r="D4" s="760" t="s">
        <v>310</v>
      </c>
      <c r="E4" s="761"/>
      <c r="F4" s="761"/>
      <c r="G4" s="761"/>
      <c r="H4" s="761"/>
      <c r="I4" s="761"/>
      <c r="J4" s="761"/>
      <c r="K4" s="761"/>
      <c r="L4" s="761"/>
      <c r="M4" s="761"/>
      <c r="N4" s="761"/>
      <c r="O4" s="761"/>
      <c r="P4" s="794"/>
    </row>
    <row r="5" spans="1:16" ht="16.2" customHeight="1">
      <c r="A5" s="680" t="s">
        <v>449</v>
      </c>
      <c r="B5" s="681"/>
      <c r="C5" s="759"/>
      <c r="D5" s="693" t="s">
        <v>450</v>
      </c>
      <c r="E5" s="762"/>
      <c r="F5" s="762"/>
      <c r="G5" s="762"/>
      <c r="H5" s="762"/>
      <c r="I5" s="762"/>
      <c r="J5" s="762"/>
      <c r="K5" s="762"/>
      <c r="L5" s="762"/>
      <c r="M5" s="762"/>
      <c r="N5" s="735"/>
      <c r="O5" s="735"/>
      <c r="P5" s="736"/>
    </row>
    <row r="6" spans="1:16">
      <c r="A6" s="4"/>
      <c r="B6" s="3"/>
      <c r="C6" s="3"/>
      <c r="D6" s="3"/>
      <c r="E6" s="3"/>
      <c r="F6" s="3"/>
      <c r="G6" s="3"/>
      <c r="H6" s="3"/>
      <c r="I6" s="3"/>
      <c r="J6" s="3"/>
      <c r="K6" s="3"/>
      <c r="L6" s="3"/>
      <c r="M6" s="3"/>
      <c r="N6" s="3"/>
      <c r="O6" s="3"/>
      <c r="P6" s="3"/>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3"/>
      <c r="O8" s="3"/>
      <c r="P8" s="3"/>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3"/>
      <c r="O10" s="3"/>
      <c r="P10" s="3"/>
    </row>
    <row r="11" spans="1:16" ht="15.6">
      <c r="A11" s="6" t="s">
        <v>25</v>
      </c>
      <c r="B11" s="680" t="s">
        <v>453</v>
      </c>
      <c r="C11" s="681"/>
      <c r="D11" s="681"/>
      <c r="E11" s="681"/>
      <c r="F11" s="681"/>
      <c r="G11" s="681"/>
      <c r="H11" s="681"/>
      <c r="I11" s="681"/>
      <c r="J11" s="681"/>
      <c r="K11" s="681"/>
      <c r="L11" s="681"/>
      <c r="M11" s="682"/>
      <c r="N11" s="792"/>
      <c r="O11" s="740"/>
      <c r="P11" s="741"/>
    </row>
    <row r="12" spans="1:16" ht="15.6">
      <c r="A12" s="7" t="s">
        <v>27</v>
      </c>
      <c r="B12" s="680" t="s">
        <v>454</v>
      </c>
      <c r="C12" s="681"/>
      <c r="D12" s="681"/>
      <c r="E12" s="681"/>
      <c r="F12" s="681"/>
      <c r="G12" s="681"/>
      <c r="H12" s="681"/>
      <c r="I12" s="681"/>
      <c r="J12" s="681"/>
      <c r="K12" s="681"/>
      <c r="L12" s="681"/>
      <c r="M12" s="682"/>
      <c r="N12" s="793" t="str">
        <f>'BASE DE CÁLCULO'!B57</f>
        <v>São Mateus/ES</v>
      </c>
      <c r="O12" s="740"/>
      <c r="P12" s="741"/>
    </row>
    <row r="13" spans="1:16" ht="15.6">
      <c r="A13" s="7" t="s">
        <v>30</v>
      </c>
      <c r="B13" s="680" t="s">
        <v>455</v>
      </c>
      <c r="C13" s="681"/>
      <c r="D13" s="681"/>
      <c r="E13" s="681"/>
      <c r="F13" s="681"/>
      <c r="G13" s="681"/>
      <c r="H13" s="681"/>
      <c r="I13" s="681"/>
      <c r="J13" s="681"/>
      <c r="K13" s="681"/>
      <c r="L13" s="681"/>
      <c r="M13" s="682"/>
      <c r="N13" s="739" t="str">
        <f>'BASE DE CÁLCULO'!D57</f>
        <v>SINTRAHOTEIS 2022</v>
      </c>
      <c r="O13" s="740"/>
      <c r="P13" s="741"/>
    </row>
    <row r="14" spans="1:16" ht="15.6">
      <c r="A14" s="7" t="s">
        <v>32</v>
      </c>
      <c r="B14" s="680" t="s">
        <v>456</v>
      </c>
      <c r="C14" s="681"/>
      <c r="D14" s="681"/>
      <c r="E14" s="681"/>
      <c r="F14" s="681"/>
      <c r="G14" s="681"/>
      <c r="H14" s="681"/>
      <c r="I14" s="681"/>
      <c r="J14" s="681"/>
      <c r="K14" s="681"/>
      <c r="L14" s="681"/>
      <c r="M14" s="682"/>
      <c r="N14" s="788">
        <v>12</v>
      </c>
      <c r="O14" s="740"/>
      <c r="P14" s="741"/>
    </row>
    <row r="15" spans="1:16">
      <c r="A15" s="8"/>
      <c r="B15" s="3"/>
      <c r="C15" s="3"/>
      <c r="D15" s="3"/>
      <c r="E15" s="3"/>
      <c r="F15" s="3"/>
      <c r="G15" s="3"/>
      <c r="H15" s="3"/>
      <c r="I15" s="3"/>
      <c r="J15" s="3"/>
      <c r="K15" s="3"/>
      <c r="L15" s="3"/>
      <c r="M15" s="3"/>
      <c r="N15" s="3"/>
      <c r="O15" s="3"/>
      <c r="P15" s="3"/>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44" t="str">
        <f>'BASE DE CÁLCULO'!C57</f>
        <v>Oficial de Manutenção</v>
      </c>
      <c r="B20" s="625"/>
      <c r="C20" s="625"/>
      <c r="D20" s="626"/>
      <c r="E20" s="751" t="s">
        <v>459</v>
      </c>
      <c r="F20" s="752"/>
      <c r="G20" s="752"/>
      <c r="H20" s="752"/>
      <c r="I20" s="752"/>
      <c r="J20" s="752"/>
      <c r="K20" s="752"/>
      <c r="L20" s="752"/>
      <c r="M20" s="753"/>
      <c r="N20" s="789">
        <f>'BASE DE CÁLCULO'!F57</f>
        <v>1</v>
      </c>
      <c r="O20" s="790"/>
      <c r="P20" s="791"/>
    </row>
    <row r="21" spans="1:16" ht="15.6">
      <c r="A21" s="739"/>
      <c r="B21" s="740"/>
      <c r="C21" s="740"/>
      <c r="D21" s="741"/>
      <c r="E21" s="742"/>
      <c r="F21" s="743"/>
      <c r="G21" s="743"/>
      <c r="H21" s="743"/>
      <c r="I21" s="743"/>
      <c r="J21" s="743"/>
      <c r="K21" s="743"/>
      <c r="L21" s="743"/>
      <c r="M21" s="744"/>
      <c r="N21" s="785"/>
      <c r="O21" s="786"/>
      <c r="P21" s="787"/>
    </row>
    <row r="22" spans="1:16" ht="15.6">
      <c r="A22" s="739"/>
      <c r="B22" s="740"/>
      <c r="C22" s="740"/>
      <c r="D22" s="741"/>
      <c r="E22" s="742"/>
      <c r="F22" s="743"/>
      <c r="G22" s="743"/>
      <c r="H22" s="743"/>
      <c r="I22" s="743"/>
      <c r="J22" s="743"/>
      <c r="K22" s="743"/>
      <c r="L22" s="743"/>
      <c r="M22" s="744"/>
      <c r="N22" s="785"/>
      <c r="O22" s="786"/>
      <c r="P22" s="787"/>
    </row>
    <row r="23" spans="1:16">
      <c r="A23" s="688" t="s">
        <v>460</v>
      </c>
      <c r="B23" s="688"/>
      <c r="C23" s="688"/>
      <c r="D23" s="688"/>
      <c r="E23" s="688"/>
      <c r="F23" s="688"/>
      <c r="G23" s="688"/>
      <c r="H23" s="688"/>
      <c r="I23" s="688"/>
      <c r="J23" s="688"/>
      <c r="K23" s="688"/>
      <c r="L23" s="688"/>
      <c r="M23" s="688"/>
      <c r="N23" s="689"/>
      <c r="O23" s="689"/>
      <c r="P23" s="689"/>
    </row>
    <row r="24" spans="1:16">
      <c r="A24" s="3"/>
      <c r="B24" s="3"/>
      <c r="C24" s="3"/>
      <c r="D24" s="3"/>
      <c r="E24" s="3"/>
      <c r="F24" s="3"/>
      <c r="G24" s="3"/>
      <c r="H24" s="3"/>
      <c r="I24" s="3"/>
      <c r="J24" s="3"/>
      <c r="K24" s="3"/>
      <c r="L24" s="3"/>
      <c r="M24" s="3"/>
      <c r="N24" s="3"/>
      <c r="O24" s="3"/>
      <c r="P24" s="3"/>
    </row>
    <row r="25" spans="1:16" ht="15.6">
      <c r="A25" s="615" t="s">
        <v>461</v>
      </c>
      <c r="B25" s="616"/>
      <c r="C25" s="616"/>
      <c r="D25" s="616"/>
      <c r="E25" s="616"/>
      <c r="F25" s="616"/>
      <c r="G25" s="616"/>
      <c r="H25" s="616"/>
      <c r="I25" s="616"/>
      <c r="J25" s="616"/>
      <c r="K25" s="616"/>
      <c r="L25" s="616"/>
      <c r="M25" s="616"/>
      <c r="N25" s="616"/>
      <c r="O25" s="616"/>
      <c r="P25" s="617"/>
    </row>
    <row r="26" spans="1:16">
      <c r="A26" s="12"/>
      <c r="B26" s="3"/>
      <c r="C26" s="3"/>
      <c r="D26" s="3"/>
      <c r="E26" s="3"/>
      <c r="F26" s="3"/>
      <c r="G26" s="3"/>
      <c r="H26" s="3"/>
      <c r="I26" s="3"/>
      <c r="J26" s="3"/>
      <c r="K26" s="3"/>
      <c r="L26" s="3"/>
      <c r="M26" s="3"/>
      <c r="N26" s="3"/>
      <c r="O26" s="3"/>
      <c r="P26" s="3"/>
    </row>
    <row r="27" spans="1:16" ht="15.6">
      <c r="A27" s="615" t="s">
        <v>462</v>
      </c>
      <c r="B27" s="616"/>
      <c r="C27" s="616"/>
      <c r="D27" s="616"/>
      <c r="E27" s="616"/>
      <c r="F27" s="616"/>
      <c r="G27" s="616"/>
      <c r="H27" s="616"/>
      <c r="I27" s="616"/>
      <c r="J27" s="616"/>
      <c r="K27" s="616"/>
      <c r="L27" s="616"/>
      <c r="M27" s="616"/>
      <c r="N27" s="616"/>
      <c r="O27" s="616"/>
      <c r="P27" s="617"/>
    </row>
    <row r="28" spans="1:16" ht="15.6">
      <c r="A28" s="615" t="s">
        <v>463</v>
      </c>
      <c r="B28" s="616"/>
      <c r="C28" s="616"/>
      <c r="D28" s="616"/>
      <c r="E28" s="616"/>
      <c r="F28" s="616"/>
      <c r="G28" s="616"/>
      <c r="H28" s="616"/>
      <c r="I28" s="616"/>
      <c r="J28" s="616"/>
      <c r="K28" s="616"/>
      <c r="L28" s="616"/>
      <c r="M28" s="616"/>
      <c r="N28" s="616"/>
      <c r="O28" s="616"/>
      <c r="P28" s="617"/>
    </row>
    <row r="29" spans="1:16" ht="15.6">
      <c r="A29" s="624" t="s">
        <v>464</v>
      </c>
      <c r="B29" s="625"/>
      <c r="C29" s="625"/>
      <c r="D29" s="625"/>
      <c r="E29" s="625"/>
      <c r="F29" s="625"/>
      <c r="G29" s="625"/>
      <c r="H29" s="625"/>
      <c r="I29" s="625"/>
      <c r="J29" s="625"/>
      <c r="K29" s="625"/>
      <c r="L29" s="625"/>
      <c r="M29" s="625"/>
      <c r="N29" s="625"/>
      <c r="O29" s="625"/>
      <c r="P29" s="626"/>
    </row>
    <row r="30" spans="1:16" ht="16.5" customHeight="1">
      <c r="A30" s="7">
        <v>1</v>
      </c>
      <c r="B30" s="680" t="s">
        <v>465</v>
      </c>
      <c r="C30" s="681"/>
      <c r="D30" s="681"/>
      <c r="E30" s="681"/>
      <c r="F30" s="681"/>
      <c r="G30" s="681"/>
      <c r="H30" s="681"/>
      <c r="I30" s="681"/>
      <c r="J30" s="681"/>
      <c r="K30" s="681"/>
      <c r="L30" s="681"/>
      <c r="M30" s="681"/>
      <c r="N30" s="739" t="str">
        <f>A20</f>
        <v>Oficial de Manutenção</v>
      </c>
      <c r="O30" s="740"/>
      <c r="P30" s="741"/>
    </row>
    <row r="31" spans="1:16" ht="15.6">
      <c r="A31" s="7">
        <v>2</v>
      </c>
      <c r="B31" s="680" t="s">
        <v>466</v>
      </c>
      <c r="C31" s="681"/>
      <c r="D31" s="681"/>
      <c r="E31" s="681"/>
      <c r="F31" s="681"/>
      <c r="G31" s="681"/>
      <c r="H31" s="681"/>
      <c r="I31" s="681"/>
      <c r="J31" s="681"/>
      <c r="K31" s="681"/>
      <c r="L31" s="681"/>
      <c r="M31" s="682"/>
      <c r="N31" s="781" t="s">
        <v>576</v>
      </c>
      <c r="O31" s="779"/>
      <c r="P31" s="780"/>
    </row>
    <row r="32" spans="1:16" ht="15.6">
      <c r="A32" s="7">
        <v>3</v>
      </c>
      <c r="B32" s="680" t="s">
        <v>468</v>
      </c>
      <c r="C32" s="681"/>
      <c r="D32" s="681"/>
      <c r="E32" s="681"/>
      <c r="F32" s="681"/>
      <c r="G32" s="681"/>
      <c r="H32" s="681"/>
      <c r="I32" s="681"/>
      <c r="J32" s="681"/>
      <c r="K32" s="681"/>
      <c r="L32" s="681"/>
      <c r="M32" s="682"/>
      <c r="N32" s="772">
        <f>'BASE DE CÁLCULO'!G57</f>
        <v>1425.57</v>
      </c>
      <c r="O32" s="773"/>
      <c r="P32" s="774"/>
    </row>
    <row r="33" spans="1:16" ht="15.6">
      <c r="A33" s="7">
        <v>4</v>
      </c>
      <c r="B33" s="680" t="s">
        <v>469</v>
      </c>
      <c r="C33" s="681"/>
      <c r="D33" s="681"/>
      <c r="E33" s="681"/>
      <c r="F33" s="681"/>
      <c r="G33" s="681"/>
      <c r="H33" s="681"/>
      <c r="I33" s="681"/>
      <c r="J33" s="681"/>
      <c r="K33" s="681"/>
      <c r="L33" s="681"/>
      <c r="M33" s="682"/>
      <c r="N33" s="782" t="str">
        <f>'BASE DE CÁLCULO'!E57</f>
        <v>Cozinha Industrial</v>
      </c>
      <c r="O33" s="783"/>
      <c r="P33" s="784"/>
    </row>
    <row r="34" spans="1:16" ht="15.6">
      <c r="A34" s="7">
        <v>5</v>
      </c>
      <c r="B34" s="680" t="s">
        <v>470</v>
      </c>
      <c r="C34" s="681"/>
      <c r="D34" s="681"/>
      <c r="E34" s="681"/>
      <c r="F34" s="681"/>
      <c r="G34" s="681"/>
      <c r="H34" s="681"/>
      <c r="I34" s="681"/>
      <c r="J34" s="681"/>
      <c r="K34" s="681"/>
      <c r="L34" s="681"/>
      <c r="M34" s="682"/>
      <c r="N34" s="778" t="str">
        <f>'BASE DE CÁLCULO'!C8</f>
        <v>1º de Janeiro</v>
      </c>
      <c r="O34" s="779"/>
      <c r="P34" s="780"/>
    </row>
    <row r="35" spans="1:16">
      <c r="A35" s="688" t="s">
        <v>471</v>
      </c>
      <c r="B35" s="688"/>
      <c r="C35" s="688"/>
      <c r="D35" s="688"/>
      <c r="E35" s="688"/>
      <c r="F35" s="688"/>
      <c r="G35" s="688"/>
      <c r="H35" s="688"/>
      <c r="I35" s="688"/>
      <c r="J35" s="688"/>
      <c r="K35" s="688"/>
      <c r="L35" s="688"/>
      <c r="M35" s="688"/>
      <c r="N35" s="689"/>
      <c r="O35" s="689"/>
      <c r="P35" s="689"/>
    </row>
    <row r="36" spans="1:16">
      <c r="A36" s="3"/>
      <c r="B36" s="3"/>
      <c r="C36" s="3"/>
      <c r="D36" s="3"/>
      <c r="E36" s="3"/>
      <c r="F36" s="3"/>
      <c r="G36" s="3"/>
      <c r="H36" s="3"/>
      <c r="I36" s="3"/>
      <c r="J36" s="3"/>
      <c r="K36" s="3"/>
      <c r="L36" s="3"/>
      <c r="M36" s="3"/>
      <c r="N36" s="3"/>
      <c r="O36" s="3"/>
      <c r="P36" s="3"/>
    </row>
    <row r="37" spans="1:16" ht="15.6">
      <c r="A37" s="618" t="s">
        <v>472</v>
      </c>
      <c r="B37" s="619"/>
      <c r="C37" s="619"/>
      <c r="D37" s="619"/>
      <c r="E37" s="619"/>
      <c r="F37" s="619"/>
      <c r="G37" s="619"/>
      <c r="H37" s="619"/>
      <c r="I37" s="619"/>
      <c r="J37" s="619"/>
      <c r="K37" s="619"/>
      <c r="L37" s="619"/>
      <c r="M37" s="619"/>
      <c r="N37" s="619"/>
      <c r="O37" s="619"/>
      <c r="P37" s="620"/>
    </row>
    <row r="38" spans="1:16" ht="15.6">
      <c r="A38" s="13">
        <v>1</v>
      </c>
      <c r="B38" s="668" t="s">
        <v>50</v>
      </c>
      <c r="C38" s="669"/>
      <c r="D38" s="669"/>
      <c r="E38" s="669"/>
      <c r="F38" s="669"/>
      <c r="G38" s="669"/>
      <c r="H38" s="669"/>
      <c r="I38" s="669"/>
      <c r="J38" s="669"/>
      <c r="K38" s="669"/>
      <c r="L38" s="669"/>
      <c r="M38" s="670"/>
      <c r="N38" s="630" t="s">
        <v>51</v>
      </c>
      <c r="O38" s="631"/>
      <c r="P38" s="632"/>
    </row>
    <row r="39" spans="1:16" ht="15.6">
      <c r="A39" s="7" t="s">
        <v>25</v>
      </c>
      <c r="B39" s="680" t="s">
        <v>473</v>
      </c>
      <c r="C39" s="681"/>
      <c r="D39" s="681"/>
      <c r="E39" s="681"/>
      <c r="F39" s="681"/>
      <c r="G39" s="681"/>
      <c r="H39" s="681"/>
      <c r="I39" s="681"/>
      <c r="J39" s="681"/>
      <c r="K39" s="681"/>
      <c r="L39" s="681"/>
      <c r="M39" s="682"/>
      <c r="N39" s="772">
        <f>N32</f>
        <v>1425.57</v>
      </c>
      <c r="O39" s="773"/>
      <c r="P39" s="774"/>
    </row>
    <row r="40" spans="1:16" ht="15.6">
      <c r="A40" s="7" t="s">
        <v>27</v>
      </c>
      <c r="B40" s="680" t="s">
        <v>474</v>
      </c>
      <c r="C40" s="681"/>
      <c r="D40" s="681"/>
      <c r="E40" s="681"/>
      <c r="F40" s="681"/>
      <c r="G40" s="681"/>
      <c r="H40" s="681"/>
      <c r="I40" s="681"/>
      <c r="J40" s="681"/>
      <c r="K40" s="681"/>
      <c r="L40" s="681"/>
      <c r="M40" s="682"/>
      <c r="N40" s="772">
        <f>'BASE DE CÁLCULO'!I57</f>
        <v>427.67</v>
      </c>
      <c r="O40" s="773"/>
      <c r="P40" s="774"/>
    </row>
    <row r="41" spans="1:16" ht="15.6">
      <c r="A41" s="7" t="s">
        <v>30</v>
      </c>
      <c r="B41" s="680" t="s">
        <v>475</v>
      </c>
      <c r="C41" s="681"/>
      <c r="D41" s="681"/>
      <c r="E41" s="681"/>
      <c r="F41" s="681"/>
      <c r="G41" s="681"/>
      <c r="H41" s="681"/>
      <c r="I41" s="681"/>
      <c r="J41" s="681"/>
      <c r="K41" s="681"/>
      <c r="L41" s="681"/>
      <c r="M41" s="682"/>
      <c r="N41" s="772" t="str">
        <f>'BASE DE CÁLCULO'!J57</f>
        <v>-</v>
      </c>
      <c r="O41" s="773"/>
      <c r="P41" s="774"/>
    </row>
    <row r="42" spans="1:16" ht="15.6">
      <c r="A42" s="7" t="s">
        <v>32</v>
      </c>
      <c r="B42" s="680" t="s">
        <v>476</v>
      </c>
      <c r="C42" s="681"/>
      <c r="D42" s="681"/>
      <c r="E42" s="681"/>
      <c r="F42" s="681"/>
      <c r="G42" s="681"/>
      <c r="H42" s="681"/>
      <c r="I42" s="681"/>
      <c r="J42" s="681"/>
      <c r="K42" s="681"/>
      <c r="L42" s="681"/>
      <c r="M42" s="682"/>
      <c r="N42" s="772">
        <f>0</f>
        <v>0</v>
      </c>
      <c r="O42" s="773"/>
      <c r="P42" s="774"/>
    </row>
    <row r="43" spans="1:16" ht="15.6">
      <c r="A43" s="7" t="s">
        <v>56</v>
      </c>
      <c r="B43" s="680" t="s">
        <v>477</v>
      </c>
      <c r="C43" s="681"/>
      <c r="D43" s="681"/>
      <c r="E43" s="681"/>
      <c r="F43" s="681"/>
      <c r="G43" s="681"/>
      <c r="H43" s="681"/>
      <c r="I43" s="681"/>
      <c r="J43" s="681"/>
      <c r="K43" s="681"/>
      <c r="L43" s="681"/>
      <c r="M43" s="682"/>
      <c r="N43" s="772">
        <f>0</f>
        <v>0</v>
      </c>
      <c r="O43" s="773"/>
      <c r="P43" s="774"/>
    </row>
    <row r="44" spans="1:16" ht="15.6">
      <c r="A44" s="7" t="s">
        <v>58</v>
      </c>
      <c r="B44" s="680" t="s">
        <v>478</v>
      </c>
      <c r="C44" s="681"/>
      <c r="D44" s="681"/>
      <c r="E44" s="681"/>
      <c r="F44" s="681"/>
      <c r="G44" s="681"/>
      <c r="H44" s="681"/>
      <c r="I44" s="681"/>
      <c r="J44" s="681"/>
      <c r="K44" s="681"/>
      <c r="L44" s="681"/>
      <c r="M44" s="682"/>
      <c r="N44" s="772">
        <f>0</f>
        <v>0</v>
      </c>
      <c r="O44" s="773"/>
      <c r="P44" s="774"/>
    </row>
    <row r="45" spans="1:16" ht="15.6">
      <c r="A45" s="7" t="s">
        <v>60</v>
      </c>
      <c r="B45" s="680" t="s">
        <v>479</v>
      </c>
      <c r="C45" s="681"/>
      <c r="D45" s="681"/>
      <c r="E45" s="681"/>
      <c r="F45" s="681"/>
      <c r="G45" s="681"/>
      <c r="H45" s="681"/>
      <c r="I45" s="681"/>
      <c r="J45" s="681"/>
      <c r="K45" s="681"/>
      <c r="L45" s="681"/>
      <c r="M45" s="682"/>
      <c r="N45" s="772">
        <f>0</f>
        <v>0</v>
      </c>
      <c r="O45" s="773"/>
      <c r="P45" s="774"/>
    </row>
    <row r="46" spans="1:16" ht="15.6">
      <c r="A46" s="633" t="s">
        <v>480</v>
      </c>
      <c r="B46" s="634"/>
      <c r="C46" s="634"/>
      <c r="D46" s="634"/>
      <c r="E46" s="634"/>
      <c r="F46" s="634"/>
      <c r="G46" s="634"/>
      <c r="H46" s="634"/>
      <c r="I46" s="634"/>
      <c r="J46" s="634"/>
      <c r="K46" s="634"/>
      <c r="L46" s="634"/>
      <c r="M46" s="635"/>
      <c r="N46" s="775">
        <f>SUM(N39:P45)</f>
        <v>1853.24</v>
      </c>
      <c r="O46" s="776"/>
      <c r="P46" s="777"/>
    </row>
    <row r="47" spans="1:16">
      <c r="A47" s="686" t="s">
        <v>481</v>
      </c>
      <c r="B47" s="686"/>
      <c r="C47" s="686"/>
      <c r="D47" s="686"/>
      <c r="E47" s="686"/>
      <c r="F47" s="686"/>
      <c r="G47" s="686"/>
      <c r="H47" s="686"/>
      <c r="I47" s="686"/>
      <c r="J47" s="686"/>
      <c r="K47" s="686"/>
      <c r="L47" s="686"/>
      <c r="M47" s="686"/>
      <c r="N47" s="686"/>
      <c r="O47" s="686"/>
      <c r="P47" s="686"/>
    </row>
    <row r="48" spans="1:16">
      <c r="A48" s="3"/>
      <c r="B48" s="3"/>
      <c r="C48" s="3"/>
      <c r="D48" s="3"/>
      <c r="E48" s="3"/>
      <c r="F48" s="3"/>
      <c r="G48" s="3"/>
      <c r="H48" s="3"/>
      <c r="I48" s="3"/>
      <c r="J48" s="3"/>
      <c r="K48" s="3"/>
      <c r="L48" s="3"/>
      <c r="M48" s="3"/>
      <c r="N48" s="3"/>
      <c r="O48" s="3"/>
      <c r="P48" s="3"/>
    </row>
    <row r="49" spans="1:16" ht="15.6">
      <c r="A49" s="618" t="s">
        <v>482</v>
      </c>
      <c r="B49" s="619"/>
      <c r="C49" s="619"/>
      <c r="D49" s="619"/>
      <c r="E49" s="619"/>
      <c r="F49" s="619"/>
      <c r="G49" s="619"/>
      <c r="H49" s="619"/>
      <c r="I49" s="619"/>
      <c r="J49" s="619"/>
      <c r="K49" s="619"/>
      <c r="L49" s="619"/>
      <c r="M49" s="619"/>
      <c r="N49" s="619"/>
      <c r="O49" s="619"/>
      <c r="P49" s="620"/>
    </row>
    <row r="50" spans="1:16" ht="15.6">
      <c r="A50" s="618" t="s">
        <v>483</v>
      </c>
      <c r="B50" s="619"/>
      <c r="C50" s="619"/>
      <c r="D50" s="619"/>
      <c r="E50" s="619"/>
      <c r="F50" s="619"/>
      <c r="G50" s="619"/>
      <c r="H50" s="619"/>
      <c r="I50" s="619"/>
      <c r="J50" s="619"/>
      <c r="K50" s="619"/>
      <c r="L50" s="619"/>
      <c r="M50" s="619"/>
      <c r="N50" s="619"/>
      <c r="O50" s="619"/>
      <c r="P50" s="620"/>
    </row>
    <row r="51" spans="1:16" ht="15.6">
      <c r="A51" s="13" t="s">
        <v>484</v>
      </c>
      <c r="B51" s="618" t="s">
        <v>485</v>
      </c>
      <c r="C51" s="619"/>
      <c r="D51" s="619"/>
      <c r="E51" s="619"/>
      <c r="F51" s="619"/>
      <c r="G51" s="619"/>
      <c r="H51" s="619"/>
      <c r="I51" s="619"/>
      <c r="J51" s="619"/>
      <c r="K51" s="619"/>
      <c r="L51" s="619"/>
      <c r="M51" s="620"/>
      <c r="N51" s="618" t="s">
        <v>51</v>
      </c>
      <c r="O51" s="619"/>
      <c r="P51" s="620"/>
    </row>
    <row r="52" spans="1:16" ht="15.6">
      <c r="A52" s="7" t="s">
        <v>25</v>
      </c>
      <c r="B52" s="680" t="s">
        <v>486</v>
      </c>
      <c r="C52" s="681"/>
      <c r="D52" s="681"/>
      <c r="E52" s="681"/>
      <c r="F52" s="681"/>
      <c r="G52" s="681"/>
      <c r="H52" s="681"/>
      <c r="I52" s="681"/>
      <c r="J52" s="681"/>
      <c r="K52" s="681"/>
      <c r="L52" s="681"/>
      <c r="M52" s="682"/>
      <c r="N52" s="772">
        <f>N46*'BASE DE CÁLCULO'!C85</f>
        <v>211.27</v>
      </c>
      <c r="O52" s="773"/>
      <c r="P52" s="774"/>
    </row>
    <row r="53" spans="1:16" ht="15.6">
      <c r="A53" s="7" t="s">
        <v>27</v>
      </c>
      <c r="B53" s="680" t="s">
        <v>487</v>
      </c>
      <c r="C53" s="681"/>
      <c r="D53" s="681"/>
      <c r="E53" s="681"/>
      <c r="F53" s="681"/>
      <c r="G53" s="681"/>
      <c r="H53" s="681"/>
      <c r="I53" s="681"/>
      <c r="J53" s="681"/>
      <c r="K53" s="681"/>
      <c r="L53" s="681"/>
      <c r="M53" s="682"/>
      <c r="N53" s="772">
        <f>(N46*'BASE DE CÁLCULO'!C94)+(N46*'BASE DE CÁLCULO'!C86)</f>
        <v>281.69</v>
      </c>
      <c r="O53" s="773"/>
      <c r="P53" s="774"/>
    </row>
    <row r="54" spans="1:16" ht="15.6">
      <c r="A54" s="633" t="s">
        <v>480</v>
      </c>
      <c r="B54" s="634"/>
      <c r="C54" s="634"/>
      <c r="D54" s="634"/>
      <c r="E54" s="634"/>
      <c r="F54" s="634"/>
      <c r="G54" s="634"/>
      <c r="H54" s="634"/>
      <c r="I54" s="634"/>
      <c r="J54" s="634"/>
      <c r="K54" s="634"/>
      <c r="L54" s="634"/>
      <c r="M54" s="635"/>
      <c r="N54" s="775">
        <f>SUM(N52:P53)</f>
        <v>492.96</v>
      </c>
      <c r="O54" s="776"/>
      <c r="P54" s="777"/>
    </row>
    <row r="55" spans="1:16">
      <c r="A55" s="688" t="s">
        <v>488</v>
      </c>
      <c r="B55" s="688"/>
      <c r="C55" s="688"/>
      <c r="D55" s="688"/>
      <c r="E55" s="688"/>
      <c r="F55" s="688"/>
      <c r="G55" s="688"/>
      <c r="H55" s="688"/>
      <c r="I55" s="688"/>
      <c r="J55" s="688"/>
      <c r="K55" s="688"/>
      <c r="L55" s="688"/>
      <c r="M55" s="688"/>
      <c r="N55" s="688"/>
      <c r="O55" s="688"/>
      <c r="P55" s="688"/>
    </row>
    <row r="56" spans="1:16">
      <c r="A56" s="688" t="s">
        <v>489</v>
      </c>
      <c r="B56" s="688"/>
      <c r="C56" s="688"/>
      <c r="D56" s="688"/>
      <c r="E56" s="688"/>
      <c r="F56" s="688"/>
      <c r="G56" s="688"/>
      <c r="H56" s="688"/>
      <c r="I56" s="688"/>
      <c r="J56" s="688"/>
      <c r="K56" s="688"/>
      <c r="L56" s="688"/>
      <c r="M56" s="688"/>
      <c r="N56" s="688"/>
      <c r="O56" s="688"/>
      <c r="P56" s="688"/>
    </row>
    <row r="57" spans="1:16">
      <c r="A57" s="3"/>
      <c r="B57" s="3"/>
      <c r="C57" s="3"/>
      <c r="D57" s="3"/>
      <c r="E57" s="3"/>
      <c r="F57" s="3"/>
      <c r="G57" s="3"/>
      <c r="H57" s="3"/>
      <c r="I57" s="3"/>
      <c r="J57" s="3"/>
      <c r="K57" s="3"/>
      <c r="L57" s="3"/>
      <c r="M57" s="3"/>
      <c r="N57" s="3"/>
      <c r="O57" s="3"/>
      <c r="P57" s="3"/>
    </row>
    <row r="58" spans="1:16" ht="15.6">
      <c r="A58" s="615" t="s">
        <v>490</v>
      </c>
      <c r="B58" s="616"/>
      <c r="C58" s="616"/>
      <c r="D58" s="616"/>
      <c r="E58" s="616"/>
      <c r="F58" s="616"/>
      <c r="G58" s="616"/>
      <c r="H58" s="616"/>
      <c r="I58" s="616"/>
      <c r="J58" s="616"/>
      <c r="K58" s="616"/>
      <c r="L58" s="616"/>
      <c r="M58" s="616"/>
      <c r="N58" s="616"/>
      <c r="O58" s="616"/>
      <c r="P58" s="617"/>
    </row>
    <row r="59" spans="1:16" ht="15.6">
      <c r="A59" s="13" t="s">
        <v>491</v>
      </c>
      <c r="B59" s="618" t="s">
        <v>492</v>
      </c>
      <c r="C59" s="619"/>
      <c r="D59" s="619"/>
      <c r="E59" s="619"/>
      <c r="F59" s="619"/>
      <c r="G59" s="619"/>
      <c r="H59" s="619"/>
      <c r="I59" s="619"/>
      <c r="J59" s="619"/>
      <c r="K59" s="620"/>
      <c r="L59" s="618" t="s">
        <v>493</v>
      </c>
      <c r="M59" s="620"/>
      <c r="N59" s="618" t="s">
        <v>51</v>
      </c>
      <c r="O59" s="619"/>
      <c r="P59" s="620"/>
    </row>
    <row r="60" spans="1:16" ht="15.6">
      <c r="A60" s="7" t="s">
        <v>25</v>
      </c>
      <c r="B60" s="680" t="s">
        <v>494</v>
      </c>
      <c r="C60" s="681"/>
      <c r="D60" s="681"/>
      <c r="E60" s="681"/>
      <c r="F60" s="681"/>
      <c r="G60" s="681"/>
      <c r="H60" s="681"/>
      <c r="I60" s="681"/>
      <c r="J60" s="681"/>
      <c r="K60" s="682"/>
      <c r="L60" s="693">
        <f>'BASE DE CÁLCULO'!C76</f>
        <v>0.2</v>
      </c>
      <c r="M60" s="723"/>
      <c r="N60" s="772">
        <f>N46*L60</f>
        <v>370.65</v>
      </c>
      <c r="O60" s="773"/>
      <c r="P60" s="774"/>
    </row>
    <row r="61" spans="1:16" ht="15.6">
      <c r="A61" s="7" t="s">
        <v>27</v>
      </c>
      <c r="B61" s="680" t="s">
        <v>495</v>
      </c>
      <c r="C61" s="681"/>
      <c r="D61" s="681"/>
      <c r="E61" s="681"/>
      <c r="F61" s="681"/>
      <c r="G61" s="681"/>
      <c r="H61" s="681"/>
      <c r="I61" s="681"/>
      <c r="J61" s="681"/>
      <c r="K61" s="682"/>
      <c r="L61" s="693">
        <f>'BASE DE CÁLCULO'!C80</f>
        <v>2.5000000000000001E-2</v>
      </c>
      <c r="M61" s="723"/>
      <c r="N61" s="772">
        <f>N46*L61</f>
        <v>46.33</v>
      </c>
      <c r="O61" s="773"/>
      <c r="P61" s="774"/>
    </row>
    <row r="62" spans="1:16" ht="15.6">
      <c r="A62" s="7" t="s">
        <v>30</v>
      </c>
      <c r="B62" s="680" t="s">
        <v>496</v>
      </c>
      <c r="C62" s="681"/>
      <c r="D62" s="681"/>
      <c r="E62" s="681"/>
      <c r="F62" s="681"/>
      <c r="G62" s="681"/>
      <c r="H62" s="681"/>
      <c r="I62" s="681"/>
      <c r="J62" s="681"/>
      <c r="K62" s="682"/>
      <c r="L62" s="726">
        <f>'BASE DE CÁLCULO'!C82</f>
        <v>0.03</v>
      </c>
      <c r="M62" s="727"/>
      <c r="N62" s="772">
        <f>N46*L62</f>
        <v>55.6</v>
      </c>
      <c r="O62" s="773"/>
      <c r="P62" s="774"/>
    </row>
    <row r="63" spans="1:16" ht="15.6">
      <c r="A63" s="7" t="s">
        <v>32</v>
      </c>
      <c r="B63" s="680" t="s">
        <v>497</v>
      </c>
      <c r="C63" s="681"/>
      <c r="D63" s="681"/>
      <c r="E63" s="681"/>
      <c r="F63" s="681"/>
      <c r="G63" s="681"/>
      <c r="H63" s="681"/>
      <c r="I63" s="681"/>
      <c r="J63" s="681"/>
      <c r="K63" s="682"/>
      <c r="L63" s="693">
        <f>'BASE DE CÁLCULO'!C77</f>
        <v>1.4999999999999999E-2</v>
      </c>
      <c r="M63" s="723"/>
      <c r="N63" s="772">
        <f>N46*L63</f>
        <v>27.8</v>
      </c>
      <c r="O63" s="773"/>
      <c r="P63" s="774"/>
    </row>
    <row r="64" spans="1:16" ht="15.6">
      <c r="A64" s="7" t="s">
        <v>56</v>
      </c>
      <c r="B64" s="680" t="s">
        <v>498</v>
      </c>
      <c r="C64" s="681"/>
      <c r="D64" s="681"/>
      <c r="E64" s="681"/>
      <c r="F64" s="681"/>
      <c r="G64" s="681"/>
      <c r="H64" s="681"/>
      <c r="I64" s="681"/>
      <c r="J64" s="681"/>
      <c r="K64" s="682"/>
      <c r="L64" s="693">
        <f>'BASE DE CÁLCULO'!C78</f>
        <v>0.01</v>
      </c>
      <c r="M64" s="723"/>
      <c r="N64" s="772">
        <f>N46*L64</f>
        <v>18.53</v>
      </c>
      <c r="O64" s="773"/>
      <c r="P64" s="774"/>
    </row>
    <row r="65" spans="1:16" ht="15.6">
      <c r="A65" s="7" t="s">
        <v>58</v>
      </c>
      <c r="B65" s="680" t="s">
        <v>499</v>
      </c>
      <c r="C65" s="681"/>
      <c r="D65" s="681"/>
      <c r="E65" s="681"/>
      <c r="F65" s="681"/>
      <c r="G65" s="681"/>
      <c r="H65" s="681"/>
      <c r="I65" s="681"/>
      <c r="J65" s="681"/>
      <c r="K65" s="682"/>
      <c r="L65" s="693">
        <f>'BASE DE CÁLCULO'!C83</f>
        <v>6.0000000000000001E-3</v>
      </c>
      <c r="M65" s="723"/>
      <c r="N65" s="772">
        <f>N46*L65</f>
        <v>11.12</v>
      </c>
      <c r="O65" s="773"/>
      <c r="P65" s="774"/>
    </row>
    <row r="66" spans="1:16" ht="15.6">
      <c r="A66" s="7" t="s">
        <v>60</v>
      </c>
      <c r="B66" s="680" t="s">
        <v>500</v>
      </c>
      <c r="C66" s="681"/>
      <c r="D66" s="681"/>
      <c r="E66" s="681"/>
      <c r="F66" s="681"/>
      <c r="G66" s="681"/>
      <c r="H66" s="681"/>
      <c r="I66" s="681"/>
      <c r="J66" s="681"/>
      <c r="K66" s="682"/>
      <c r="L66" s="693">
        <f>'BASE DE CÁLCULO'!C79</f>
        <v>2E-3</v>
      </c>
      <c r="M66" s="723"/>
      <c r="N66" s="772">
        <f>N46*L66</f>
        <v>3.71</v>
      </c>
      <c r="O66" s="773"/>
      <c r="P66" s="774"/>
    </row>
    <row r="67" spans="1:16" ht="15.6">
      <c r="A67" s="15" t="s">
        <v>62</v>
      </c>
      <c r="B67" s="680" t="s">
        <v>501</v>
      </c>
      <c r="C67" s="681"/>
      <c r="D67" s="681"/>
      <c r="E67" s="681"/>
      <c r="F67" s="681"/>
      <c r="G67" s="681"/>
      <c r="H67" s="681"/>
      <c r="I67" s="681"/>
      <c r="J67" s="681"/>
      <c r="K67" s="682"/>
      <c r="L67" s="693">
        <f>'BASE DE CÁLCULO'!C81</f>
        <v>0.08</v>
      </c>
      <c r="M67" s="723"/>
      <c r="N67" s="772">
        <f>N46*L67</f>
        <v>148.26</v>
      </c>
      <c r="O67" s="773"/>
      <c r="P67" s="774"/>
    </row>
    <row r="68" spans="1:16" ht="15.6">
      <c r="A68" s="633" t="s">
        <v>480</v>
      </c>
      <c r="B68" s="634"/>
      <c r="C68" s="634"/>
      <c r="D68" s="634"/>
      <c r="E68" s="634"/>
      <c r="F68" s="634"/>
      <c r="G68" s="634"/>
      <c r="H68" s="634"/>
      <c r="I68" s="634"/>
      <c r="J68" s="634"/>
      <c r="K68" s="635"/>
      <c r="L68" s="724">
        <f>SUM(L60:M67)</f>
        <v>0.36799999999999999</v>
      </c>
      <c r="M68" s="725"/>
      <c r="N68" s="775">
        <f>SUM(N60:P67)</f>
        <v>682</v>
      </c>
      <c r="O68" s="776"/>
      <c r="P68" s="777"/>
    </row>
    <row r="69" spans="1:16">
      <c r="A69" s="686" t="s">
        <v>502</v>
      </c>
      <c r="B69" s="686"/>
      <c r="C69" s="686"/>
      <c r="D69" s="686"/>
      <c r="E69" s="686"/>
      <c r="F69" s="686"/>
      <c r="G69" s="686"/>
      <c r="H69" s="686"/>
      <c r="I69" s="686"/>
      <c r="J69" s="686"/>
      <c r="K69" s="686"/>
      <c r="L69" s="686"/>
      <c r="M69" s="686"/>
      <c r="N69" s="686"/>
      <c r="O69" s="686"/>
      <c r="P69" s="686"/>
    </row>
    <row r="70" spans="1:16">
      <c r="A70" s="688" t="s">
        <v>503</v>
      </c>
      <c r="B70" s="688"/>
      <c r="C70" s="688"/>
      <c r="D70" s="688"/>
      <c r="E70" s="688"/>
      <c r="F70" s="688"/>
      <c r="G70" s="688"/>
      <c r="H70" s="688"/>
      <c r="I70" s="688"/>
      <c r="J70" s="688"/>
      <c r="K70" s="688"/>
      <c r="L70" s="688"/>
      <c r="M70" s="688"/>
      <c r="N70" s="688"/>
      <c r="O70" s="688"/>
      <c r="P70" s="688"/>
    </row>
    <row r="71" spans="1:16">
      <c r="A71" s="688" t="s">
        <v>504</v>
      </c>
      <c r="B71" s="688"/>
      <c r="C71" s="688"/>
      <c r="D71" s="688"/>
      <c r="E71" s="688"/>
      <c r="F71" s="688"/>
      <c r="G71" s="688"/>
      <c r="H71" s="688"/>
      <c r="I71" s="688"/>
      <c r="J71" s="688"/>
      <c r="K71" s="688"/>
      <c r="L71" s="688"/>
      <c r="M71" s="688"/>
      <c r="N71" s="688"/>
      <c r="O71" s="688"/>
      <c r="P71" s="688"/>
    </row>
    <row r="72" spans="1:16">
      <c r="A72" s="3"/>
      <c r="B72" s="3"/>
      <c r="C72" s="3"/>
      <c r="D72" s="3"/>
      <c r="E72" s="3"/>
      <c r="F72" s="3"/>
      <c r="G72" s="3"/>
      <c r="H72" s="3"/>
      <c r="I72" s="3"/>
      <c r="J72" s="3"/>
      <c r="K72" s="3"/>
      <c r="L72" s="3"/>
      <c r="M72" s="3"/>
      <c r="N72" s="3"/>
      <c r="O72" s="3"/>
      <c r="P72" s="3"/>
    </row>
    <row r="73" spans="1:16" ht="15.6">
      <c r="A73" s="618" t="s">
        <v>505</v>
      </c>
      <c r="B73" s="619"/>
      <c r="C73" s="619"/>
      <c r="D73" s="619"/>
      <c r="E73" s="619"/>
      <c r="F73" s="619"/>
      <c r="G73" s="619"/>
      <c r="H73" s="619"/>
      <c r="I73" s="619"/>
      <c r="J73" s="619"/>
      <c r="K73" s="619"/>
      <c r="L73" s="619"/>
      <c r="M73" s="619"/>
      <c r="N73" s="619"/>
      <c r="O73" s="619"/>
      <c r="P73" s="620"/>
    </row>
    <row r="74" spans="1:16" ht="15.6">
      <c r="A74" s="13" t="s">
        <v>506</v>
      </c>
      <c r="B74" s="618" t="s">
        <v>66</v>
      </c>
      <c r="C74" s="619"/>
      <c r="D74" s="619"/>
      <c r="E74" s="619"/>
      <c r="F74" s="619"/>
      <c r="G74" s="619"/>
      <c r="H74" s="619"/>
      <c r="I74" s="619"/>
      <c r="J74" s="619"/>
      <c r="K74" s="619"/>
      <c r="L74" s="619"/>
      <c r="M74" s="620"/>
      <c r="N74" s="630" t="s">
        <v>51</v>
      </c>
      <c r="O74" s="631"/>
      <c r="P74" s="632"/>
    </row>
    <row r="75" spans="1:16" ht="15.6">
      <c r="A75" s="7" t="s">
        <v>25</v>
      </c>
      <c r="B75" s="680" t="s">
        <v>507</v>
      </c>
      <c r="C75" s="681"/>
      <c r="D75" s="681"/>
      <c r="E75" s="681"/>
      <c r="F75" s="681"/>
      <c r="G75" s="681"/>
      <c r="H75" s="681"/>
      <c r="I75" s="681"/>
      <c r="J75" s="681"/>
      <c r="K75" s="681"/>
      <c r="L75" s="681"/>
      <c r="M75" s="682"/>
      <c r="N75" s="772">
        <f>'BASE DE CÁLCULO'!K57</f>
        <v>106.33</v>
      </c>
      <c r="O75" s="773"/>
      <c r="P75" s="774"/>
    </row>
    <row r="76" spans="1:16" ht="16.5" customHeight="1">
      <c r="A76" s="7" t="s">
        <v>27</v>
      </c>
      <c r="B76" s="680" t="s">
        <v>331</v>
      </c>
      <c r="C76" s="681"/>
      <c r="D76" s="681"/>
      <c r="E76" s="681"/>
      <c r="F76" s="681"/>
      <c r="G76" s="681"/>
      <c r="H76" s="681"/>
      <c r="I76" s="681"/>
      <c r="J76" s="681"/>
      <c r="K76" s="681"/>
      <c r="L76" s="681"/>
      <c r="M76" s="682"/>
      <c r="N76" s="772">
        <f>'BASE DE CÁLCULO'!L57</f>
        <v>158.11000000000001</v>
      </c>
      <c r="O76" s="773"/>
      <c r="P76" s="774"/>
    </row>
    <row r="77" spans="1:16" ht="15.6">
      <c r="A77" s="7" t="s">
        <v>30</v>
      </c>
      <c r="B77" s="680" t="s">
        <v>508</v>
      </c>
      <c r="C77" s="681"/>
      <c r="D77" s="681"/>
      <c r="E77" s="681"/>
      <c r="F77" s="681"/>
      <c r="G77" s="681"/>
      <c r="H77" s="681"/>
      <c r="I77" s="681"/>
      <c r="J77" s="681"/>
      <c r="K77" s="681"/>
      <c r="L77" s="681"/>
      <c r="M77" s="682"/>
      <c r="N77" s="772">
        <f>'BASE DE CÁLCULO'!N57</f>
        <v>230.26</v>
      </c>
      <c r="O77" s="773"/>
      <c r="P77" s="774"/>
    </row>
    <row r="78" spans="1:16" ht="15.6">
      <c r="A78" s="7" t="s">
        <v>32</v>
      </c>
      <c r="B78" s="680" t="s">
        <v>509</v>
      </c>
      <c r="C78" s="681"/>
      <c r="D78" s="681"/>
      <c r="E78" s="681"/>
      <c r="F78" s="681"/>
      <c r="G78" s="681"/>
      <c r="H78" s="681"/>
      <c r="I78" s="681"/>
      <c r="J78" s="681"/>
      <c r="K78" s="681"/>
      <c r="L78" s="681"/>
      <c r="M78" s="682"/>
      <c r="N78" s="772">
        <f>'BASE DE CÁLCULO'!M57</f>
        <v>0</v>
      </c>
      <c r="O78" s="773"/>
      <c r="P78" s="774"/>
    </row>
    <row r="79" spans="1:16" ht="15.6">
      <c r="A79" s="7" t="s">
        <v>56</v>
      </c>
      <c r="B79" s="680" t="s">
        <v>510</v>
      </c>
      <c r="C79" s="681"/>
      <c r="D79" s="681"/>
      <c r="E79" s="681"/>
      <c r="F79" s="681"/>
      <c r="G79" s="681"/>
      <c r="H79" s="681"/>
      <c r="I79" s="681"/>
      <c r="J79" s="681"/>
      <c r="K79" s="681"/>
      <c r="L79" s="681"/>
      <c r="M79" s="682"/>
      <c r="N79" s="772">
        <f>'BASE DE CÁLCULO'!Q57</f>
        <v>25.3</v>
      </c>
      <c r="O79" s="773"/>
      <c r="P79" s="774"/>
    </row>
    <row r="80" spans="1:16" ht="15.6">
      <c r="A80" s="7" t="s">
        <v>58</v>
      </c>
      <c r="B80" s="680" t="s">
        <v>511</v>
      </c>
      <c r="C80" s="681"/>
      <c r="D80" s="681"/>
      <c r="E80" s="681"/>
      <c r="F80" s="681"/>
      <c r="G80" s="681"/>
      <c r="H80" s="681"/>
      <c r="I80" s="681"/>
      <c r="J80" s="681"/>
      <c r="K80" s="681"/>
      <c r="L80" s="681"/>
      <c r="M80" s="682"/>
      <c r="N80" s="714">
        <f>'BASE DE CÁLCULO'!S57</f>
        <v>170.99</v>
      </c>
      <c r="O80" s="715"/>
      <c r="P80" s="716"/>
    </row>
    <row r="81" spans="1:16" ht="16.2" customHeight="1">
      <c r="A81" s="7" t="s">
        <v>60</v>
      </c>
      <c r="B81" s="680" t="s">
        <v>334</v>
      </c>
      <c r="C81" s="681"/>
      <c r="D81" s="681"/>
      <c r="E81" s="681"/>
      <c r="F81" s="681"/>
      <c r="G81" s="681"/>
      <c r="H81" s="681"/>
      <c r="I81" s="681"/>
      <c r="J81" s="681"/>
      <c r="K81" s="681"/>
      <c r="L81" s="681"/>
      <c r="M81" s="682"/>
      <c r="N81" s="772">
        <f>'BASE DE CÁLCULO'!R57</f>
        <v>6.43</v>
      </c>
      <c r="O81" s="773"/>
      <c r="P81" s="774"/>
    </row>
    <row r="82" spans="1:16" ht="15.6">
      <c r="A82" s="633" t="s">
        <v>480</v>
      </c>
      <c r="B82" s="634"/>
      <c r="C82" s="634"/>
      <c r="D82" s="634"/>
      <c r="E82" s="634"/>
      <c r="F82" s="634"/>
      <c r="G82" s="634"/>
      <c r="H82" s="634"/>
      <c r="I82" s="634"/>
      <c r="J82" s="634"/>
      <c r="K82" s="634"/>
      <c r="L82" s="634"/>
      <c r="M82" s="635"/>
      <c r="N82" s="775">
        <f>SUM(N75:P81)</f>
        <v>697.42</v>
      </c>
      <c r="O82" s="776"/>
      <c r="P82" s="777"/>
    </row>
    <row r="83" spans="1:16">
      <c r="A83" s="686" t="s">
        <v>512</v>
      </c>
      <c r="B83" s="686"/>
      <c r="C83" s="686"/>
      <c r="D83" s="686"/>
      <c r="E83" s="686"/>
      <c r="F83" s="686"/>
      <c r="G83" s="686"/>
      <c r="H83" s="686"/>
      <c r="I83" s="686"/>
      <c r="J83" s="686"/>
      <c r="K83" s="686"/>
      <c r="L83" s="686"/>
      <c r="M83" s="686"/>
      <c r="N83" s="686"/>
      <c r="O83" s="686"/>
      <c r="P83" s="686"/>
    </row>
    <row r="84" spans="1:16">
      <c r="A84" s="688" t="s">
        <v>513</v>
      </c>
      <c r="B84" s="688"/>
      <c r="C84" s="688"/>
      <c r="D84" s="688"/>
      <c r="E84" s="688"/>
      <c r="F84" s="688"/>
      <c r="G84" s="688"/>
      <c r="H84" s="688"/>
      <c r="I84" s="688"/>
      <c r="J84" s="688"/>
      <c r="K84" s="688"/>
      <c r="L84" s="688"/>
      <c r="M84" s="688"/>
      <c r="N84" s="688"/>
      <c r="O84" s="688"/>
      <c r="P84" s="688"/>
    </row>
    <row r="85" spans="1:16">
      <c r="A85" s="3"/>
      <c r="B85" s="3"/>
      <c r="C85" s="3"/>
      <c r="D85" s="3"/>
      <c r="E85" s="3"/>
      <c r="F85" s="3"/>
      <c r="G85" s="3"/>
      <c r="H85" s="3"/>
      <c r="I85" s="3"/>
      <c r="J85" s="3"/>
      <c r="K85" s="3"/>
      <c r="L85" s="3"/>
      <c r="M85" s="3"/>
      <c r="N85" s="3"/>
      <c r="O85" s="3"/>
      <c r="P85" s="3"/>
    </row>
    <row r="86" spans="1:16" ht="15.6">
      <c r="A86" s="618" t="s">
        <v>514</v>
      </c>
      <c r="B86" s="628"/>
      <c r="C86" s="628"/>
      <c r="D86" s="628"/>
      <c r="E86" s="628"/>
      <c r="F86" s="628"/>
      <c r="G86" s="628"/>
      <c r="H86" s="628"/>
      <c r="I86" s="628"/>
      <c r="J86" s="628"/>
      <c r="K86" s="628"/>
      <c r="L86" s="628"/>
      <c r="M86" s="628"/>
      <c r="N86" s="619"/>
      <c r="O86" s="619"/>
      <c r="P86" s="620"/>
    </row>
    <row r="87" spans="1:16" ht="15.6">
      <c r="A87" s="11">
        <v>2</v>
      </c>
      <c r="B87" s="709" t="s">
        <v>515</v>
      </c>
      <c r="C87" s="710"/>
      <c r="D87" s="710"/>
      <c r="E87" s="710"/>
      <c r="F87" s="710"/>
      <c r="G87" s="710"/>
      <c r="H87" s="710"/>
      <c r="I87" s="710"/>
      <c r="J87" s="710"/>
      <c r="K87" s="710"/>
      <c r="L87" s="710"/>
      <c r="M87" s="711"/>
      <c r="N87" s="619" t="s">
        <v>51</v>
      </c>
      <c r="O87" s="619"/>
      <c r="P87" s="620"/>
    </row>
    <row r="88" spans="1:16" ht="15.6">
      <c r="A88" s="11" t="s">
        <v>516</v>
      </c>
      <c r="B88" s="712" t="s">
        <v>517</v>
      </c>
      <c r="C88" s="712"/>
      <c r="D88" s="712"/>
      <c r="E88" s="712"/>
      <c r="F88" s="712"/>
      <c r="G88" s="712"/>
      <c r="H88" s="712"/>
      <c r="I88" s="712"/>
      <c r="J88" s="712"/>
      <c r="K88" s="712"/>
      <c r="L88" s="712"/>
      <c r="M88" s="712"/>
      <c r="N88" s="771">
        <f>N54</f>
        <v>492.96</v>
      </c>
      <c r="O88" s="769"/>
      <c r="P88" s="770"/>
    </row>
    <row r="89" spans="1:16" ht="15.6">
      <c r="A89" s="11" t="s">
        <v>491</v>
      </c>
      <c r="B89" s="699" t="s">
        <v>518</v>
      </c>
      <c r="C89" s="700"/>
      <c r="D89" s="700"/>
      <c r="E89" s="700"/>
      <c r="F89" s="700"/>
      <c r="G89" s="700"/>
      <c r="H89" s="700"/>
      <c r="I89" s="700"/>
      <c r="J89" s="700"/>
      <c r="K89" s="700"/>
      <c r="L89" s="700"/>
      <c r="M89" s="701"/>
      <c r="N89" s="769">
        <f>N68</f>
        <v>682</v>
      </c>
      <c r="O89" s="769"/>
      <c r="P89" s="770"/>
    </row>
    <row r="90" spans="1:16" ht="15.6">
      <c r="A90" s="9" t="s">
        <v>506</v>
      </c>
      <c r="B90" s="699" t="s">
        <v>519</v>
      </c>
      <c r="C90" s="700"/>
      <c r="D90" s="700"/>
      <c r="E90" s="700"/>
      <c r="F90" s="700"/>
      <c r="G90" s="700"/>
      <c r="H90" s="700"/>
      <c r="I90" s="700"/>
      <c r="J90" s="700"/>
      <c r="K90" s="700"/>
      <c r="L90" s="700"/>
      <c r="M90" s="701"/>
      <c r="N90" s="769">
        <f>N82</f>
        <v>697.42</v>
      </c>
      <c r="O90" s="769"/>
      <c r="P90" s="770"/>
    </row>
    <row r="91" spans="1:16" ht="15.6">
      <c r="A91" s="633" t="s">
        <v>480</v>
      </c>
      <c r="B91" s="702"/>
      <c r="C91" s="702"/>
      <c r="D91" s="702"/>
      <c r="E91" s="702"/>
      <c r="F91" s="702"/>
      <c r="G91" s="702"/>
      <c r="H91" s="702"/>
      <c r="I91" s="702"/>
      <c r="J91" s="702"/>
      <c r="K91" s="702"/>
      <c r="L91" s="702"/>
      <c r="M91" s="703"/>
      <c r="N91" s="765">
        <f>SUM(N88:P90)</f>
        <v>1872.38</v>
      </c>
      <c r="O91" s="766"/>
      <c r="P91" s="767"/>
    </row>
    <row r="92" spans="1:16">
      <c r="A92" s="3"/>
      <c r="B92" s="3"/>
      <c r="C92" s="3"/>
      <c r="D92" s="3"/>
      <c r="E92" s="3"/>
      <c r="F92" s="3"/>
      <c r="G92" s="3"/>
      <c r="H92" s="3"/>
      <c r="I92" s="3"/>
      <c r="J92" s="3"/>
      <c r="K92" s="3"/>
      <c r="L92" s="3"/>
      <c r="M92" s="3"/>
      <c r="N92" s="3"/>
      <c r="O92" s="3"/>
      <c r="P92" s="3"/>
    </row>
    <row r="93" spans="1:16" ht="15.6">
      <c r="A93" s="615" t="s">
        <v>520</v>
      </c>
      <c r="B93" s="616"/>
      <c r="C93" s="616"/>
      <c r="D93" s="616"/>
      <c r="E93" s="616"/>
      <c r="F93" s="616"/>
      <c r="G93" s="616"/>
      <c r="H93" s="616"/>
      <c r="I93" s="616"/>
      <c r="J93" s="616"/>
      <c r="K93" s="616"/>
      <c r="L93" s="616"/>
      <c r="M93" s="616"/>
      <c r="N93" s="616"/>
      <c r="O93" s="616"/>
      <c r="P93" s="617"/>
    </row>
    <row r="94" spans="1:16" ht="15.6">
      <c r="A94" s="13">
        <v>3</v>
      </c>
      <c r="B94" s="618" t="s">
        <v>112</v>
      </c>
      <c r="C94" s="619"/>
      <c r="D94" s="619"/>
      <c r="E94" s="619"/>
      <c r="F94" s="619"/>
      <c r="G94" s="619"/>
      <c r="H94" s="619"/>
      <c r="I94" s="619"/>
      <c r="J94" s="619"/>
      <c r="K94" s="619"/>
      <c r="L94" s="619"/>
      <c r="M94" s="620"/>
      <c r="N94" s="618" t="s">
        <v>51</v>
      </c>
      <c r="O94" s="619"/>
      <c r="P94" s="620"/>
    </row>
    <row r="95" spans="1:16" ht="15.6">
      <c r="A95" s="7" t="s">
        <v>25</v>
      </c>
      <c r="B95" s="680" t="s">
        <v>521</v>
      </c>
      <c r="C95" s="681"/>
      <c r="D95" s="681"/>
      <c r="E95" s="681"/>
      <c r="F95" s="681"/>
      <c r="G95" s="681"/>
      <c r="H95" s="681"/>
      <c r="I95" s="681"/>
      <c r="J95" s="681"/>
      <c r="K95" s="681"/>
      <c r="L95" s="681"/>
      <c r="M95" s="682"/>
      <c r="N95" s="768">
        <f>N46*'BASE DE CÁLCULO'!C88</f>
        <v>7.78</v>
      </c>
      <c r="O95" s="769"/>
      <c r="P95" s="770"/>
    </row>
    <row r="96" spans="1:16" ht="15.6">
      <c r="A96" s="7" t="s">
        <v>27</v>
      </c>
      <c r="B96" s="680" t="s">
        <v>522</v>
      </c>
      <c r="C96" s="681"/>
      <c r="D96" s="681"/>
      <c r="E96" s="681"/>
      <c r="F96" s="681"/>
      <c r="G96" s="681"/>
      <c r="H96" s="681"/>
      <c r="I96" s="681"/>
      <c r="J96" s="681"/>
      <c r="K96" s="681"/>
      <c r="L96" s="681"/>
      <c r="M96" s="682"/>
      <c r="N96" s="768">
        <f>N46*'BASE DE CÁLCULO'!C89</f>
        <v>0.56000000000000005</v>
      </c>
      <c r="O96" s="769"/>
      <c r="P96" s="770"/>
    </row>
    <row r="97" spans="1:16" ht="15.6">
      <c r="A97" s="7" t="s">
        <v>30</v>
      </c>
      <c r="B97" s="680" t="s">
        <v>523</v>
      </c>
      <c r="C97" s="681"/>
      <c r="D97" s="681"/>
      <c r="E97" s="681"/>
      <c r="F97" s="681"/>
      <c r="G97" s="681"/>
      <c r="H97" s="681"/>
      <c r="I97" s="681"/>
      <c r="J97" s="681"/>
      <c r="K97" s="681"/>
      <c r="L97" s="681"/>
      <c r="M97" s="682"/>
      <c r="N97" s="768">
        <f>N46*'BASE DE CÁLCULO'!C90</f>
        <v>0.19</v>
      </c>
      <c r="O97" s="769"/>
      <c r="P97" s="770"/>
    </row>
    <row r="98" spans="1:16" ht="15.6">
      <c r="A98" s="7" t="s">
        <v>32</v>
      </c>
      <c r="B98" s="680" t="s">
        <v>524</v>
      </c>
      <c r="C98" s="681"/>
      <c r="D98" s="681"/>
      <c r="E98" s="681"/>
      <c r="F98" s="681"/>
      <c r="G98" s="681"/>
      <c r="H98" s="681"/>
      <c r="I98" s="681"/>
      <c r="J98" s="681"/>
      <c r="K98" s="681"/>
      <c r="L98" s="681"/>
      <c r="M98" s="682"/>
      <c r="N98" s="768">
        <f>N46*'BASE DE CÁLCULO'!C91</f>
        <v>35.950000000000003</v>
      </c>
      <c r="O98" s="769"/>
      <c r="P98" s="770"/>
    </row>
    <row r="99" spans="1:16" ht="15.6">
      <c r="A99" s="7" t="s">
        <v>56</v>
      </c>
      <c r="B99" s="680" t="s">
        <v>525</v>
      </c>
      <c r="C99" s="681"/>
      <c r="D99" s="681"/>
      <c r="E99" s="681"/>
      <c r="F99" s="681"/>
      <c r="G99" s="681"/>
      <c r="H99" s="681"/>
      <c r="I99" s="681"/>
      <c r="J99" s="681"/>
      <c r="K99" s="681"/>
      <c r="L99" s="681"/>
      <c r="M99" s="682"/>
      <c r="N99" s="768">
        <f>N46*'BASE DE CÁLCULO'!C92</f>
        <v>13.16</v>
      </c>
      <c r="O99" s="769"/>
      <c r="P99" s="770"/>
    </row>
    <row r="100" spans="1:16" ht="15.6">
      <c r="A100" s="15" t="s">
        <v>58</v>
      </c>
      <c r="B100" s="680" t="s">
        <v>526</v>
      </c>
      <c r="C100" s="681"/>
      <c r="D100" s="681"/>
      <c r="E100" s="681"/>
      <c r="F100" s="681"/>
      <c r="G100" s="681"/>
      <c r="H100" s="681"/>
      <c r="I100" s="681"/>
      <c r="J100" s="681"/>
      <c r="K100" s="681"/>
      <c r="L100" s="681"/>
      <c r="M100" s="682"/>
      <c r="N100" s="683">
        <f>N46*'BASE DE CÁLCULO'!C93</f>
        <v>1.1100000000000001</v>
      </c>
      <c r="O100" s="684"/>
      <c r="P100" s="685"/>
    </row>
    <row r="101" spans="1:16" ht="15.6">
      <c r="A101" s="633" t="s">
        <v>480</v>
      </c>
      <c r="B101" s="634"/>
      <c r="C101" s="634"/>
      <c r="D101" s="634"/>
      <c r="E101" s="634"/>
      <c r="F101" s="634"/>
      <c r="G101" s="634"/>
      <c r="H101" s="634"/>
      <c r="I101" s="634"/>
      <c r="J101" s="634"/>
      <c r="K101" s="634"/>
      <c r="L101" s="634"/>
      <c r="M101" s="635"/>
      <c r="N101" s="765">
        <f>SUM(N95:P100)</f>
        <v>58.75</v>
      </c>
      <c r="O101" s="766"/>
      <c r="P101" s="767"/>
    </row>
    <row r="102" spans="1:16">
      <c r="A102" s="3"/>
      <c r="B102" s="3"/>
      <c r="C102" s="3"/>
      <c r="D102" s="3"/>
      <c r="E102" s="3"/>
      <c r="F102" s="3"/>
      <c r="G102" s="3"/>
      <c r="H102" s="3"/>
      <c r="I102" s="3"/>
      <c r="J102" s="3"/>
      <c r="K102" s="3"/>
      <c r="L102" s="3"/>
      <c r="M102" s="3"/>
      <c r="N102" s="3"/>
      <c r="O102" s="3"/>
      <c r="P102" s="3"/>
    </row>
    <row r="103" spans="1:16" ht="15.6">
      <c r="A103" s="618" t="s">
        <v>527</v>
      </c>
      <c r="B103" s="619"/>
      <c r="C103" s="619"/>
      <c r="D103" s="619"/>
      <c r="E103" s="619"/>
      <c r="F103" s="619"/>
      <c r="G103" s="619"/>
      <c r="H103" s="619"/>
      <c r="I103" s="619"/>
      <c r="J103" s="619"/>
      <c r="K103" s="619"/>
      <c r="L103" s="619"/>
      <c r="M103" s="619"/>
      <c r="N103" s="619"/>
      <c r="O103" s="619"/>
      <c r="P103" s="620"/>
    </row>
    <row r="104" spans="1:16">
      <c r="A104" s="688" t="s">
        <v>528</v>
      </c>
      <c r="B104" s="688"/>
      <c r="C104" s="688"/>
      <c r="D104" s="688"/>
      <c r="E104" s="688"/>
      <c r="F104" s="688"/>
      <c r="G104" s="688"/>
      <c r="H104" s="688"/>
      <c r="I104" s="688"/>
      <c r="J104" s="688"/>
      <c r="K104" s="688"/>
      <c r="L104" s="688"/>
      <c r="M104" s="688"/>
      <c r="N104" s="688"/>
      <c r="O104" s="688"/>
      <c r="P104" s="688"/>
    </row>
    <row r="105" spans="1:16">
      <c r="A105" s="688" t="s">
        <v>529</v>
      </c>
      <c r="B105" s="688"/>
      <c r="C105" s="688"/>
      <c r="D105" s="688"/>
      <c r="E105" s="688"/>
      <c r="F105" s="688"/>
      <c r="G105" s="688"/>
      <c r="H105" s="688"/>
      <c r="I105" s="688"/>
      <c r="J105" s="688"/>
      <c r="K105" s="688"/>
      <c r="L105" s="688"/>
      <c r="M105" s="688"/>
      <c r="N105" s="688"/>
      <c r="O105" s="688"/>
      <c r="P105" s="688"/>
    </row>
    <row r="106" spans="1:16">
      <c r="A106" s="4"/>
      <c r="B106" s="3"/>
      <c r="C106" s="3"/>
      <c r="D106" s="3"/>
      <c r="E106" s="3"/>
      <c r="F106" s="3"/>
      <c r="G106" s="3"/>
      <c r="H106" s="3"/>
      <c r="I106" s="3"/>
      <c r="J106" s="3"/>
      <c r="K106" s="3"/>
      <c r="L106" s="3"/>
      <c r="M106" s="3"/>
      <c r="N106" s="3"/>
      <c r="O106" s="3"/>
      <c r="P106" s="3"/>
    </row>
    <row r="107" spans="1:16" ht="16.5" customHeight="1">
      <c r="A107" s="618" t="s">
        <v>530</v>
      </c>
      <c r="B107" s="619"/>
      <c r="C107" s="619"/>
      <c r="D107" s="619"/>
      <c r="E107" s="619"/>
      <c r="F107" s="619"/>
      <c r="G107" s="619"/>
      <c r="H107" s="619"/>
      <c r="I107" s="619"/>
      <c r="J107" s="619"/>
      <c r="K107" s="619"/>
      <c r="L107" s="619"/>
      <c r="M107" s="619"/>
      <c r="N107" s="619"/>
      <c r="O107" s="619"/>
      <c r="P107" s="620"/>
    </row>
    <row r="108" spans="1:16" ht="16.5" customHeight="1">
      <c r="A108" s="13" t="s">
        <v>85</v>
      </c>
      <c r="B108" s="618" t="s">
        <v>531</v>
      </c>
      <c r="C108" s="619"/>
      <c r="D108" s="619"/>
      <c r="E108" s="619"/>
      <c r="F108" s="619"/>
      <c r="G108" s="619"/>
      <c r="H108" s="619"/>
      <c r="I108" s="619"/>
      <c r="J108" s="619"/>
      <c r="K108" s="619"/>
      <c r="L108" s="619"/>
      <c r="M108" s="620"/>
      <c r="N108" s="618" t="s">
        <v>51</v>
      </c>
      <c r="O108" s="619"/>
      <c r="P108" s="620"/>
    </row>
    <row r="109" spans="1:16" ht="15.6">
      <c r="A109" s="7" t="s">
        <v>25</v>
      </c>
      <c r="B109" s="680" t="s">
        <v>532</v>
      </c>
      <c r="C109" s="681"/>
      <c r="D109" s="681"/>
      <c r="E109" s="681"/>
      <c r="F109" s="681"/>
      <c r="G109" s="681"/>
      <c r="H109" s="681"/>
      <c r="I109" s="681"/>
      <c r="J109" s="681"/>
      <c r="K109" s="681"/>
      <c r="L109" s="681"/>
      <c r="M109" s="682"/>
      <c r="N109" s="768">
        <f>N46*'BASE DE CÁLCULO'!C94</f>
        <v>211.27</v>
      </c>
      <c r="O109" s="769"/>
      <c r="P109" s="770"/>
    </row>
    <row r="110" spans="1:16" ht="16.5" customHeight="1">
      <c r="A110" s="7" t="s">
        <v>27</v>
      </c>
      <c r="B110" s="680" t="s">
        <v>533</v>
      </c>
      <c r="C110" s="681"/>
      <c r="D110" s="681"/>
      <c r="E110" s="681"/>
      <c r="F110" s="681"/>
      <c r="G110" s="681"/>
      <c r="H110" s="681"/>
      <c r="I110" s="681"/>
      <c r="J110" s="681"/>
      <c r="K110" s="681"/>
      <c r="L110" s="681"/>
      <c r="M110" s="682"/>
      <c r="N110" s="768">
        <f>N46*'BASE DE CÁLCULO'!C97</f>
        <v>21.13</v>
      </c>
      <c r="O110" s="769"/>
      <c r="P110" s="770"/>
    </row>
    <row r="111" spans="1:16" ht="16.5" customHeight="1">
      <c r="A111" s="7" t="s">
        <v>30</v>
      </c>
      <c r="B111" s="680" t="s">
        <v>123</v>
      </c>
      <c r="C111" s="681"/>
      <c r="D111" s="681"/>
      <c r="E111" s="681"/>
      <c r="F111" s="681"/>
      <c r="G111" s="681"/>
      <c r="H111" s="681"/>
      <c r="I111" s="681"/>
      <c r="J111" s="681"/>
      <c r="K111" s="681"/>
      <c r="L111" s="681"/>
      <c r="M111" s="682"/>
      <c r="N111" s="768">
        <f>N46*'BASE DE CÁLCULO'!C95</f>
        <v>35.21</v>
      </c>
      <c r="O111" s="769"/>
      <c r="P111" s="770"/>
    </row>
    <row r="112" spans="1:16" ht="16.5" customHeight="1">
      <c r="A112" s="7" t="s">
        <v>32</v>
      </c>
      <c r="B112" s="680" t="s">
        <v>534</v>
      </c>
      <c r="C112" s="681"/>
      <c r="D112" s="681"/>
      <c r="E112" s="681"/>
      <c r="F112" s="681"/>
      <c r="G112" s="681"/>
      <c r="H112" s="681"/>
      <c r="I112" s="681"/>
      <c r="J112" s="681"/>
      <c r="K112" s="681"/>
      <c r="L112" s="681"/>
      <c r="M112" s="682"/>
      <c r="N112" s="768">
        <f>N46*'BASE DE CÁLCULO'!C96</f>
        <v>0.56000000000000005</v>
      </c>
      <c r="O112" s="769"/>
      <c r="P112" s="770"/>
    </row>
    <row r="113" spans="1:16" ht="16.5" customHeight="1">
      <c r="A113" s="7" t="s">
        <v>56</v>
      </c>
      <c r="B113" s="680" t="s">
        <v>535</v>
      </c>
      <c r="C113" s="681"/>
      <c r="D113" s="681"/>
      <c r="E113" s="681"/>
      <c r="F113" s="681"/>
      <c r="G113" s="681"/>
      <c r="H113" s="681"/>
      <c r="I113" s="681"/>
      <c r="J113" s="681"/>
      <c r="K113" s="681"/>
      <c r="L113" s="681"/>
      <c r="M113" s="682"/>
      <c r="N113" s="768">
        <f>N46*'BASE DE CÁLCULO'!C98</f>
        <v>8.52</v>
      </c>
      <c r="O113" s="769"/>
      <c r="P113" s="770"/>
    </row>
    <row r="114" spans="1:16" ht="16.5" customHeight="1">
      <c r="A114" s="7" t="s">
        <v>58</v>
      </c>
      <c r="B114" s="680" t="s">
        <v>107</v>
      </c>
      <c r="C114" s="681"/>
      <c r="D114" s="681"/>
      <c r="E114" s="681"/>
      <c r="F114" s="681"/>
      <c r="G114" s="681"/>
      <c r="H114" s="681"/>
      <c r="I114" s="681"/>
      <c r="J114" s="681"/>
      <c r="K114" s="681"/>
      <c r="L114" s="681"/>
      <c r="M114" s="682"/>
      <c r="N114" s="768">
        <f>N46*'BASE DE CÁLCULO'!C87</f>
        <v>4.45</v>
      </c>
      <c r="O114" s="769"/>
      <c r="P114" s="770"/>
    </row>
    <row r="115" spans="1:16" ht="16.5" customHeight="1">
      <c r="A115" s="7" t="s">
        <v>60</v>
      </c>
      <c r="B115" s="680" t="s">
        <v>536</v>
      </c>
      <c r="C115" s="681"/>
      <c r="D115" s="681"/>
      <c r="E115" s="681"/>
      <c r="F115" s="681"/>
      <c r="G115" s="681"/>
      <c r="H115" s="681"/>
      <c r="I115" s="681"/>
      <c r="J115" s="681"/>
      <c r="K115" s="681"/>
      <c r="L115" s="681"/>
      <c r="M115" s="682"/>
      <c r="N115" s="768">
        <f>N46*'BASE DE CÁLCULO'!C99</f>
        <v>1.48</v>
      </c>
      <c r="O115" s="769"/>
      <c r="P115" s="770"/>
    </row>
    <row r="116" spans="1:16" ht="15.6">
      <c r="A116" s="633" t="s">
        <v>480</v>
      </c>
      <c r="B116" s="634"/>
      <c r="C116" s="634"/>
      <c r="D116" s="634"/>
      <c r="E116" s="634"/>
      <c r="F116" s="634"/>
      <c r="G116" s="634"/>
      <c r="H116" s="634"/>
      <c r="I116" s="634"/>
      <c r="J116" s="634"/>
      <c r="K116" s="634"/>
      <c r="L116" s="634"/>
      <c r="M116" s="635"/>
      <c r="N116" s="765">
        <f>SUM(N109:P115)</f>
        <v>282.62</v>
      </c>
      <c r="O116" s="766"/>
      <c r="P116" s="767"/>
    </row>
    <row r="117" spans="1:16">
      <c r="A117" s="688" t="s">
        <v>537</v>
      </c>
      <c r="B117" s="688"/>
      <c r="C117" s="688"/>
      <c r="D117" s="688"/>
      <c r="E117" s="688"/>
      <c r="F117" s="688"/>
      <c r="G117" s="688"/>
      <c r="H117" s="688"/>
      <c r="I117" s="688"/>
      <c r="J117" s="688"/>
      <c r="K117" s="688"/>
      <c r="L117" s="688"/>
      <c r="M117" s="688"/>
      <c r="N117" s="688"/>
      <c r="O117" s="688"/>
      <c r="P117" s="688"/>
    </row>
    <row r="118" spans="1:16">
      <c r="A118" s="17"/>
      <c r="B118" s="3"/>
      <c r="C118" s="3"/>
      <c r="D118" s="3"/>
      <c r="E118" s="3"/>
      <c r="F118" s="3"/>
      <c r="G118" s="3"/>
      <c r="H118" s="3"/>
      <c r="I118" s="3"/>
      <c r="J118" s="3"/>
      <c r="K118" s="3"/>
      <c r="L118" s="3"/>
      <c r="M118" s="3"/>
      <c r="N118" s="3"/>
      <c r="O118" s="3"/>
      <c r="P118" s="3"/>
    </row>
    <row r="119" spans="1:16" ht="15.6">
      <c r="A119" s="618" t="s">
        <v>538</v>
      </c>
      <c r="B119" s="619"/>
      <c r="C119" s="619"/>
      <c r="D119" s="619"/>
      <c r="E119" s="619"/>
      <c r="F119" s="619"/>
      <c r="G119" s="619"/>
      <c r="H119" s="619"/>
      <c r="I119" s="619"/>
      <c r="J119" s="619"/>
      <c r="K119" s="619"/>
      <c r="L119" s="619"/>
      <c r="M119" s="619"/>
      <c r="N119" s="619"/>
      <c r="O119" s="619"/>
      <c r="P119" s="620"/>
    </row>
    <row r="120" spans="1:16" ht="15.6">
      <c r="A120" s="13" t="s">
        <v>99</v>
      </c>
      <c r="B120" s="618" t="s">
        <v>539</v>
      </c>
      <c r="C120" s="619"/>
      <c r="D120" s="619"/>
      <c r="E120" s="619"/>
      <c r="F120" s="619"/>
      <c r="G120" s="619"/>
      <c r="H120" s="619"/>
      <c r="I120" s="619"/>
      <c r="J120" s="619"/>
      <c r="K120" s="619"/>
      <c r="L120" s="619"/>
      <c r="M120" s="620"/>
      <c r="N120" s="618" t="s">
        <v>51</v>
      </c>
      <c r="O120" s="619"/>
      <c r="P120" s="620"/>
    </row>
    <row r="121" spans="1:16" ht="16.2" customHeight="1">
      <c r="A121" s="7" t="s">
        <v>25</v>
      </c>
      <c r="B121" s="680" t="s">
        <v>540</v>
      </c>
      <c r="C121" s="681"/>
      <c r="D121" s="681"/>
      <c r="E121" s="681"/>
      <c r="F121" s="681"/>
      <c r="G121" s="681"/>
      <c r="H121" s="681"/>
      <c r="I121" s="681"/>
      <c r="J121" s="681"/>
      <c r="K121" s="681"/>
      <c r="L121" s="681"/>
      <c r="M121" s="682"/>
      <c r="N121" s="768">
        <f>0</f>
        <v>0</v>
      </c>
      <c r="O121" s="769"/>
      <c r="P121" s="770"/>
    </row>
    <row r="122" spans="1:16" ht="15.6">
      <c r="A122" s="633" t="s">
        <v>480</v>
      </c>
      <c r="B122" s="634"/>
      <c r="C122" s="634"/>
      <c r="D122" s="634"/>
      <c r="E122" s="634"/>
      <c r="F122" s="634"/>
      <c r="G122" s="634"/>
      <c r="H122" s="634"/>
      <c r="I122" s="634"/>
      <c r="J122" s="634"/>
      <c r="K122" s="634"/>
      <c r="L122" s="634"/>
      <c r="M122" s="635"/>
      <c r="N122" s="765">
        <f>SUM(N121)</f>
        <v>0</v>
      </c>
      <c r="O122" s="766"/>
      <c r="P122" s="767"/>
    </row>
    <row r="123" spans="1:16" ht="14.25" customHeight="1">
      <c r="A123" s="686" t="s">
        <v>541</v>
      </c>
      <c r="B123" s="686"/>
      <c r="C123" s="686"/>
      <c r="D123" s="686"/>
      <c r="E123" s="686"/>
      <c r="F123" s="686"/>
      <c r="G123" s="686"/>
      <c r="H123" s="686"/>
      <c r="I123" s="686"/>
      <c r="J123" s="686"/>
      <c r="K123" s="686"/>
      <c r="L123" s="686"/>
      <c r="M123" s="686"/>
      <c r="N123" s="686"/>
      <c r="O123" s="686"/>
      <c r="P123" s="686"/>
    </row>
    <row r="124" spans="1:16">
      <c r="A124" s="4"/>
      <c r="B124" s="3"/>
      <c r="C124" s="3"/>
      <c r="D124" s="3"/>
      <c r="E124" s="3"/>
      <c r="F124" s="3"/>
      <c r="G124" s="3"/>
      <c r="H124" s="3"/>
      <c r="I124" s="3"/>
      <c r="J124" s="3"/>
      <c r="K124" s="3"/>
      <c r="L124" s="3"/>
      <c r="M124" s="3"/>
      <c r="N124" s="3"/>
      <c r="O124" s="3"/>
      <c r="P124" s="3"/>
    </row>
    <row r="125" spans="1:16" ht="15.6">
      <c r="A125" s="618" t="s">
        <v>542</v>
      </c>
      <c r="B125" s="619"/>
      <c r="C125" s="619"/>
      <c r="D125" s="619"/>
      <c r="E125" s="619"/>
      <c r="F125" s="619"/>
      <c r="G125" s="619"/>
      <c r="H125" s="619"/>
      <c r="I125" s="619"/>
      <c r="J125" s="619"/>
      <c r="K125" s="619"/>
      <c r="L125" s="619"/>
      <c r="M125" s="619"/>
      <c r="N125" s="619"/>
      <c r="O125" s="619"/>
      <c r="P125" s="620"/>
    </row>
    <row r="126" spans="1:16" ht="15.6">
      <c r="A126" s="13">
        <v>4</v>
      </c>
      <c r="B126" s="618" t="s">
        <v>543</v>
      </c>
      <c r="C126" s="619"/>
      <c r="D126" s="619"/>
      <c r="E126" s="619"/>
      <c r="F126" s="619"/>
      <c r="G126" s="619"/>
      <c r="H126" s="619"/>
      <c r="I126" s="619"/>
      <c r="J126" s="619"/>
      <c r="K126" s="619"/>
      <c r="L126" s="619"/>
      <c r="M126" s="620"/>
      <c r="N126" s="618" t="s">
        <v>51</v>
      </c>
      <c r="O126" s="619"/>
      <c r="P126" s="620"/>
    </row>
    <row r="127" spans="1:16" ht="15.6">
      <c r="A127" s="13" t="s">
        <v>85</v>
      </c>
      <c r="B127" s="680" t="s">
        <v>533</v>
      </c>
      <c r="C127" s="681"/>
      <c r="D127" s="681"/>
      <c r="E127" s="681"/>
      <c r="F127" s="681"/>
      <c r="G127" s="681"/>
      <c r="H127" s="681"/>
      <c r="I127" s="681"/>
      <c r="J127" s="681"/>
      <c r="K127" s="681"/>
      <c r="L127" s="681"/>
      <c r="M127" s="682"/>
      <c r="N127" s="768">
        <f>N116</f>
        <v>282.62</v>
      </c>
      <c r="O127" s="769"/>
      <c r="P127" s="770"/>
    </row>
    <row r="128" spans="1:16" ht="15.6">
      <c r="A128" s="21" t="s">
        <v>99</v>
      </c>
      <c r="B128" s="680" t="s">
        <v>544</v>
      </c>
      <c r="C128" s="681"/>
      <c r="D128" s="681"/>
      <c r="E128" s="681"/>
      <c r="F128" s="681"/>
      <c r="G128" s="681"/>
      <c r="H128" s="681"/>
      <c r="I128" s="681"/>
      <c r="J128" s="681"/>
      <c r="K128" s="681"/>
      <c r="L128" s="681"/>
      <c r="M128" s="682"/>
      <c r="N128" s="768" t="s">
        <v>12</v>
      </c>
      <c r="O128" s="769"/>
      <c r="P128" s="770"/>
    </row>
    <row r="129" spans="1:16" ht="15.6">
      <c r="A129" s="633" t="s">
        <v>480</v>
      </c>
      <c r="B129" s="634"/>
      <c r="C129" s="634"/>
      <c r="D129" s="634"/>
      <c r="E129" s="634"/>
      <c r="F129" s="634"/>
      <c r="G129" s="634"/>
      <c r="H129" s="634"/>
      <c r="I129" s="634"/>
      <c r="J129" s="634"/>
      <c r="K129" s="634"/>
      <c r="L129" s="634"/>
      <c r="M129" s="635"/>
      <c r="N129" s="765">
        <f>SUM(N127:P128)</f>
        <v>282.62</v>
      </c>
      <c r="O129" s="766"/>
      <c r="P129" s="767"/>
    </row>
    <row r="130" spans="1:16" ht="15.6">
      <c r="A130" s="22"/>
      <c r="B130" s="3"/>
      <c r="C130" s="3"/>
      <c r="D130" s="3"/>
      <c r="E130" s="3"/>
      <c r="F130" s="3"/>
      <c r="G130" s="3"/>
      <c r="H130" s="3"/>
      <c r="I130" s="3"/>
      <c r="J130" s="3"/>
      <c r="K130" s="3"/>
      <c r="L130" s="3"/>
      <c r="M130" s="3"/>
      <c r="N130" s="3"/>
      <c r="O130" s="3"/>
      <c r="P130" s="3"/>
    </row>
    <row r="131" spans="1:16" ht="15.6">
      <c r="A131" s="618" t="s">
        <v>545</v>
      </c>
      <c r="B131" s="619"/>
      <c r="C131" s="619"/>
      <c r="D131" s="619"/>
      <c r="E131" s="619"/>
      <c r="F131" s="619"/>
      <c r="G131" s="619"/>
      <c r="H131" s="619"/>
      <c r="I131" s="619"/>
      <c r="J131" s="619"/>
      <c r="K131" s="619"/>
      <c r="L131" s="619"/>
      <c r="M131" s="619"/>
      <c r="N131" s="619"/>
      <c r="O131" s="619"/>
      <c r="P131" s="620"/>
    </row>
    <row r="132" spans="1:16" ht="15.6">
      <c r="A132" s="13">
        <v>5</v>
      </c>
      <c r="B132" s="618" t="s">
        <v>77</v>
      </c>
      <c r="C132" s="619"/>
      <c r="D132" s="619"/>
      <c r="E132" s="619"/>
      <c r="F132" s="619"/>
      <c r="G132" s="619"/>
      <c r="H132" s="619"/>
      <c r="I132" s="619"/>
      <c r="J132" s="619"/>
      <c r="K132" s="619"/>
      <c r="L132" s="619"/>
      <c r="M132" s="620"/>
      <c r="N132" s="618" t="s">
        <v>51</v>
      </c>
      <c r="O132" s="619"/>
      <c r="P132" s="620"/>
    </row>
    <row r="133" spans="1:16" ht="16.5" customHeight="1">
      <c r="A133" s="7" t="s">
        <v>25</v>
      </c>
      <c r="B133" s="680" t="s">
        <v>546</v>
      </c>
      <c r="C133" s="681"/>
      <c r="D133" s="681"/>
      <c r="E133" s="681"/>
      <c r="F133" s="681"/>
      <c r="G133" s="681"/>
      <c r="H133" s="681"/>
      <c r="I133" s="681"/>
      <c r="J133" s="681"/>
      <c r="K133" s="681"/>
      <c r="L133" s="681"/>
      <c r="M133" s="682"/>
      <c r="N133" s="768">
        <f>'BASE DE CÁLCULO'!O57</f>
        <v>178.61</v>
      </c>
      <c r="O133" s="769"/>
      <c r="P133" s="770"/>
    </row>
    <row r="134" spans="1:16" ht="16.5" customHeight="1">
      <c r="A134" s="7" t="s">
        <v>27</v>
      </c>
      <c r="B134" s="680" t="s">
        <v>547</v>
      </c>
      <c r="C134" s="681"/>
      <c r="D134" s="681"/>
      <c r="E134" s="681"/>
      <c r="F134" s="681"/>
      <c r="G134" s="681"/>
      <c r="H134" s="681"/>
      <c r="I134" s="681"/>
      <c r="J134" s="681"/>
      <c r="K134" s="681"/>
      <c r="L134" s="681"/>
      <c r="M134" s="682"/>
      <c r="N134" s="768">
        <f>'BASE DE CÁLCULO'!P57</f>
        <v>29.45</v>
      </c>
      <c r="O134" s="769"/>
      <c r="P134" s="770"/>
    </row>
    <row r="135" spans="1:16" ht="15.6">
      <c r="A135" s="15" t="s">
        <v>30</v>
      </c>
      <c r="B135" s="680" t="s">
        <v>479</v>
      </c>
      <c r="C135" s="681"/>
      <c r="D135" s="681"/>
      <c r="E135" s="681"/>
      <c r="F135" s="681"/>
      <c r="G135" s="681"/>
      <c r="H135" s="681"/>
      <c r="I135" s="681"/>
      <c r="J135" s="681"/>
      <c r="K135" s="681"/>
      <c r="L135" s="681"/>
      <c r="M135" s="682"/>
      <c r="N135" s="768">
        <f>0</f>
        <v>0</v>
      </c>
      <c r="O135" s="769"/>
      <c r="P135" s="770"/>
    </row>
    <row r="136" spans="1:16" ht="15.6">
      <c r="A136" s="633" t="s">
        <v>480</v>
      </c>
      <c r="B136" s="634"/>
      <c r="C136" s="634"/>
      <c r="D136" s="634"/>
      <c r="E136" s="634"/>
      <c r="F136" s="634"/>
      <c r="G136" s="634"/>
      <c r="H136" s="634"/>
      <c r="I136" s="634"/>
      <c r="J136" s="634"/>
      <c r="K136" s="634"/>
      <c r="L136" s="634"/>
      <c r="M136" s="635"/>
      <c r="N136" s="765">
        <f>SUM(N133:P135)</f>
        <v>208.06</v>
      </c>
      <c r="O136" s="766"/>
      <c r="P136" s="767"/>
    </row>
    <row r="137" spans="1:16">
      <c r="A137" s="686" t="s">
        <v>548</v>
      </c>
      <c r="B137" s="686"/>
      <c r="C137" s="686"/>
      <c r="D137" s="686"/>
      <c r="E137" s="686"/>
      <c r="F137" s="686"/>
      <c r="G137" s="686"/>
      <c r="H137" s="686"/>
      <c r="I137" s="686"/>
      <c r="J137" s="686"/>
      <c r="K137" s="686"/>
      <c r="L137" s="686"/>
      <c r="M137" s="686"/>
      <c r="N137" s="686"/>
      <c r="O137" s="686"/>
      <c r="P137" s="686"/>
    </row>
    <row r="138" spans="1:16">
      <c r="A138" s="4"/>
      <c r="B138" s="3"/>
      <c r="C138" s="3"/>
      <c r="D138" s="3"/>
      <c r="E138" s="3"/>
      <c r="F138" s="3"/>
      <c r="G138" s="3"/>
      <c r="H138" s="3"/>
      <c r="I138" s="3"/>
      <c r="J138" s="3"/>
      <c r="K138" s="3"/>
      <c r="L138" s="3"/>
      <c r="M138" s="3"/>
      <c r="N138" s="3"/>
      <c r="O138" s="3"/>
      <c r="P138" s="3"/>
    </row>
    <row r="139" spans="1:16" ht="16.5" customHeight="1">
      <c r="A139" s="618" t="s">
        <v>549</v>
      </c>
      <c r="B139" s="619"/>
      <c r="C139" s="619"/>
      <c r="D139" s="619"/>
      <c r="E139" s="619"/>
      <c r="F139" s="619"/>
      <c r="G139" s="619"/>
      <c r="H139" s="619"/>
      <c r="I139" s="619"/>
      <c r="J139" s="619"/>
      <c r="K139" s="619"/>
      <c r="L139" s="619"/>
      <c r="M139" s="619"/>
      <c r="N139" s="619"/>
      <c r="O139" s="619"/>
      <c r="P139" s="620"/>
    </row>
    <row r="140" spans="1:16" ht="16.5" customHeight="1">
      <c r="A140" s="13">
        <v>6</v>
      </c>
      <c r="B140" s="618" t="s">
        <v>137</v>
      </c>
      <c r="C140" s="619"/>
      <c r="D140" s="619"/>
      <c r="E140" s="619"/>
      <c r="F140" s="619"/>
      <c r="G140" s="619"/>
      <c r="H140" s="619"/>
      <c r="I140" s="619"/>
      <c r="J140" s="619"/>
      <c r="K140" s="620"/>
      <c r="L140" s="618" t="s">
        <v>493</v>
      </c>
      <c r="M140" s="620"/>
      <c r="N140" s="618" t="s">
        <v>51</v>
      </c>
      <c r="O140" s="619"/>
      <c r="P140" s="620"/>
    </row>
    <row r="141" spans="1:16" ht="16.5" customHeight="1">
      <c r="A141" s="7" t="s">
        <v>25</v>
      </c>
      <c r="B141" s="680" t="s">
        <v>550</v>
      </c>
      <c r="C141" s="681"/>
      <c r="D141" s="681"/>
      <c r="E141" s="681"/>
      <c r="F141" s="681"/>
      <c r="G141" s="681"/>
      <c r="H141" s="681"/>
      <c r="I141" s="681"/>
      <c r="J141" s="681"/>
      <c r="K141" s="682"/>
      <c r="L141" s="693">
        <f>'BASE DE CÁLCULO'!C63</f>
        <v>0.05</v>
      </c>
      <c r="M141" s="626"/>
      <c r="N141" s="683">
        <f>N158*L141</f>
        <v>213.75</v>
      </c>
      <c r="O141" s="684"/>
      <c r="P141" s="685"/>
    </row>
    <row r="142" spans="1:16" ht="15.6">
      <c r="A142" s="7" t="s">
        <v>27</v>
      </c>
      <c r="B142" s="680" t="s">
        <v>551</v>
      </c>
      <c r="C142" s="681"/>
      <c r="D142" s="681"/>
      <c r="E142" s="681"/>
      <c r="F142" s="681"/>
      <c r="G142" s="681"/>
      <c r="H142" s="681"/>
      <c r="I142" s="681"/>
      <c r="J142" s="681"/>
      <c r="K142" s="682"/>
      <c r="L142" s="693">
        <f>'BASE DE CÁLCULO'!C64</f>
        <v>0.1</v>
      </c>
      <c r="M142" s="626"/>
      <c r="N142" s="683">
        <f>(N158+N141)*L142</f>
        <v>448.88</v>
      </c>
      <c r="O142" s="684"/>
      <c r="P142" s="685"/>
    </row>
    <row r="143" spans="1:16" ht="16.5" customHeight="1">
      <c r="A143" s="7" t="s">
        <v>30</v>
      </c>
      <c r="B143" s="633" t="s">
        <v>552</v>
      </c>
      <c r="C143" s="634"/>
      <c r="D143" s="634"/>
      <c r="E143" s="634"/>
      <c r="F143" s="634"/>
      <c r="G143" s="634"/>
      <c r="H143" s="634"/>
      <c r="I143" s="634"/>
      <c r="J143" s="634"/>
      <c r="K143" s="635"/>
      <c r="L143" s="694">
        <f>SUM(L144:M146)</f>
        <v>0.13250000000000001</v>
      </c>
      <c r="M143" s="620"/>
      <c r="N143" s="665"/>
      <c r="O143" s="666"/>
      <c r="P143" s="667"/>
    </row>
    <row r="144" spans="1:16" ht="16.5" customHeight="1">
      <c r="A144" s="7"/>
      <c r="B144" s="680" t="s">
        <v>553</v>
      </c>
      <c r="C144" s="681"/>
      <c r="D144" s="681"/>
      <c r="E144" s="681"/>
      <c r="F144" s="681"/>
      <c r="G144" s="681"/>
      <c r="H144" s="681"/>
      <c r="I144" s="681"/>
      <c r="J144" s="681"/>
      <c r="K144" s="682"/>
      <c r="L144" s="693">
        <f>SUM('BASE DE CÁLCULO'!C66:C67)</f>
        <v>9.2499999999999999E-2</v>
      </c>
      <c r="M144" s="626"/>
      <c r="N144" s="683">
        <f>(($N$158+$N$141+$N$142)/(100%-$L$143))*L144</f>
        <v>526.5</v>
      </c>
      <c r="O144" s="684"/>
      <c r="P144" s="685"/>
    </row>
    <row r="145" spans="1:17" ht="16.5" customHeight="1">
      <c r="A145" s="7"/>
      <c r="B145" s="680" t="s">
        <v>554</v>
      </c>
      <c r="C145" s="681"/>
      <c r="D145" s="681"/>
      <c r="E145" s="681"/>
      <c r="F145" s="681"/>
      <c r="G145" s="681"/>
      <c r="H145" s="681"/>
      <c r="I145" s="681"/>
      <c r="J145" s="681"/>
      <c r="K145" s="682"/>
      <c r="L145" s="695">
        <f>0</f>
        <v>0</v>
      </c>
      <c r="M145" s="696"/>
      <c r="N145" s="683">
        <f>(($N$158+$N$141+$N$142)/(100%-$L$143))*L145</f>
        <v>0</v>
      </c>
      <c r="O145" s="684"/>
      <c r="P145" s="685"/>
    </row>
    <row r="146" spans="1:17" ht="16.5" customHeight="1">
      <c r="A146" s="7"/>
      <c r="B146" s="680" t="s">
        <v>555</v>
      </c>
      <c r="C146" s="681"/>
      <c r="D146" s="681"/>
      <c r="E146" s="681"/>
      <c r="F146" s="681"/>
      <c r="G146" s="681"/>
      <c r="H146" s="681"/>
      <c r="I146" s="681"/>
      <c r="J146" s="681"/>
      <c r="K146" s="682"/>
      <c r="L146" s="693">
        <f>'BASE DE CÁLCULO'!C71</f>
        <v>0.04</v>
      </c>
      <c r="M146" s="626"/>
      <c r="N146" s="683">
        <f>(($N$158+$N$141+$N$142)/(100%-$L$143))*L146</f>
        <v>227.67</v>
      </c>
      <c r="O146" s="684"/>
      <c r="P146" s="685"/>
    </row>
    <row r="147" spans="1:17" ht="15.6">
      <c r="A147" s="633" t="s">
        <v>480</v>
      </c>
      <c r="B147" s="634"/>
      <c r="C147" s="634"/>
      <c r="D147" s="634"/>
      <c r="E147" s="634"/>
      <c r="F147" s="634"/>
      <c r="G147" s="634"/>
      <c r="H147" s="634"/>
      <c r="I147" s="634"/>
      <c r="J147" s="634"/>
      <c r="K147" s="635"/>
      <c r="L147" s="694">
        <f>SUM(L141:M143)</f>
        <v>0.28249999999999997</v>
      </c>
      <c r="M147" s="620"/>
      <c r="N147" s="765">
        <f>SUM(N141:P146)</f>
        <v>1416.8</v>
      </c>
      <c r="O147" s="766"/>
      <c r="P147" s="767"/>
      <c r="Q147" s="26"/>
    </row>
    <row r="148" spans="1:17">
      <c r="A148" s="686" t="s">
        <v>556</v>
      </c>
      <c r="B148" s="686"/>
      <c r="C148" s="686"/>
      <c r="D148" s="686"/>
      <c r="E148" s="686"/>
      <c r="F148" s="686"/>
      <c r="G148" s="686"/>
      <c r="H148" s="686"/>
      <c r="I148" s="686"/>
      <c r="J148" s="686"/>
      <c r="K148" s="686"/>
      <c r="L148" s="686"/>
      <c r="M148" s="686"/>
      <c r="N148" s="686"/>
      <c r="O148" s="686"/>
      <c r="P148" s="686"/>
    </row>
    <row r="149" spans="1:17">
      <c r="A149" s="688" t="s">
        <v>557</v>
      </c>
      <c r="B149" s="688"/>
      <c r="C149" s="688"/>
      <c r="D149" s="688"/>
      <c r="E149" s="688"/>
      <c r="F149" s="688"/>
      <c r="G149" s="688"/>
      <c r="H149" s="688"/>
      <c r="I149" s="688"/>
      <c r="J149" s="688"/>
      <c r="K149" s="688"/>
      <c r="L149" s="688"/>
      <c r="M149" s="688"/>
      <c r="N149" s="688"/>
      <c r="O149" s="688"/>
      <c r="P149" s="688"/>
    </row>
    <row r="150" spans="1:17">
      <c r="A150" s="3"/>
      <c r="B150" s="3"/>
      <c r="C150" s="3"/>
      <c r="D150" s="3"/>
      <c r="E150" s="3"/>
      <c r="F150" s="3"/>
      <c r="G150" s="3"/>
      <c r="H150" s="3"/>
      <c r="I150" s="3"/>
      <c r="J150" s="3"/>
      <c r="K150" s="3"/>
      <c r="L150" s="3"/>
      <c r="M150" s="3"/>
      <c r="N150" s="3"/>
      <c r="O150" s="3"/>
      <c r="P150" s="3"/>
    </row>
    <row r="151" spans="1:17" ht="15.6">
      <c r="A151" s="618" t="s">
        <v>558</v>
      </c>
      <c r="B151" s="619"/>
      <c r="C151" s="619"/>
      <c r="D151" s="619"/>
      <c r="E151" s="619"/>
      <c r="F151" s="619"/>
      <c r="G151" s="619"/>
      <c r="H151" s="619"/>
      <c r="I151" s="619"/>
      <c r="J151" s="619"/>
      <c r="K151" s="619"/>
      <c r="L151" s="619"/>
      <c r="M151" s="619"/>
      <c r="N151" s="619"/>
      <c r="O151" s="619"/>
      <c r="P151" s="620"/>
    </row>
    <row r="152" spans="1:17" ht="15.6">
      <c r="A152" s="23"/>
      <c r="B152" s="618" t="s">
        <v>559</v>
      </c>
      <c r="C152" s="619"/>
      <c r="D152" s="619"/>
      <c r="E152" s="619"/>
      <c r="F152" s="619"/>
      <c r="G152" s="619"/>
      <c r="H152" s="619"/>
      <c r="I152" s="619"/>
      <c r="J152" s="619"/>
      <c r="K152" s="619"/>
      <c r="L152" s="619"/>
      <c r="M152" s="620"/>
      <c r="N152" s="618" t="s">
        <v>51</v>
      </c>
      <c r="O152" s="619"/>
      <c r="P152" s="620"/>
    </row>
    <row r="153" spans="1:17" ht="15.6">
      <c r="A153" s="7" t="s">
        <v>25</v>
      </c>
      <c r="B153" s="680" t="s">
        <v>560</v>
      </c>
      <c r="C153" s="681"/>
      <c r="D153" s="681"/>
      <c r="E153" s="681"/>
      <c r="F153" s="681"/>
      <c r="G153" s="681"/>
      <c r="H153" s="681"/>
      <c r="I153" s="681"/>
      <c r="J153" s="681"/>
      <c r="K153" s="681"/>
      <c r="L153" s="681"/>
      <c r="M153" s="682"/>
      <c r="N153" s="768">
        <f>N46</f>
        <v>1853.24</v>
      </c>
      <c r="O153" s="769"/>
      <c r="P153" s="770"/>
    </row>
    <row r="154" spans="1:17" ht="15.6">
      <c r="A154" s="7" t="s">
        <v>27</v>
      </c>
      <c r="B154" s="680" t="s">
        <v>561</v>
      </c>
      <c r="C154" s="681"/>
      <c r="D154" s="681"/>
      <c r="E154" s="681"/>
      <c r="F154" s="681"/>
      <c r="G154" s="681"/>
      <c r="H154" s="681"/>
      <c r="I154" s="681"/>
      <c r="J154" s="681"/>
      <c r="K154" s="681"/>
      <c r="L154" s="681"/>
      <c r="M154" s="682"/>
      <c r="N154" s="768">
        <f>N91</f>
        <v>1872.38</v>
      </c>
      <c r="O154" s="769"/>
      <c r="P154" s="770"/>
    </row>
    <row r="155" spans="1:17" ht="15.6">
      <c r="A155" s="7" t="s">
        <v>30</v>
      </c>
      <c r="B155" s="680" t="s">
        <v>562</v>
      </c>
      <c r="C155" s="681"/>
      <c r="D155" s="681"/>
      <c r="E155" s="681"/>
      <c r="F155" s="681"/>
      <c r="G155" s="681"/>
      <c r="H155" s="681"/>
      <c r="I155" s="681"/>
      <c r="J155" s="681"/>
      <c r="K155" s="681"/>
      <c r="L155" s="681"/>
      <c r="M155" s="682"/>
      <c r="N155" s="768">
        <f>N101</f>
        <v>58.75</v>
      </c>
      <c r="O155" s="769"/>
      <c r="P155" s="770"/>
    </row>
    <row r="156" spans="1:17" ht="15.6">
      <c r="A156" s="7" t="s">
        <v>32</v>
      </c>
      <c r="B156" s="680" t="s">
        <v>563</v>
      </c>
      <c r="C156" s="681"/>
      <c r="D156" s="681"/>
      <c r="E156" s="681"/>
      <c r="F156" s="681"/>
      <c r="G156" s="681"/>
      <c r="H156" s="681"/>
      <c r="I156" s="681"/>
      <c r="J156" s="681"/>
      <c r="K156" s="681"/>
      <c r="L156" s="681"/>
      <c r="M156" s="682"/>
      <c r="N156" s="768">
        <f>N129</f>
        <v>282.62</v>
      </c>
      <c r="O156" s="769"/>
      <c r="P156" s="770"/>
    </row>
    <row r="157" spans="1:17" ht="15.6">
      <c r="A157" s="7" t="s">
        <v>56</v>
      </c>
      <c r="B157" s="680" t="s">
        <v>564</v>
      </c>
      <c r="C157" s="681"/>
      <c r="D157" s="681"/>
      <c r="E157" s="681"/>
      <c r="F157" s="681"/>
      <c r="G157" s="681"/>
      <c r="H157" s="681"/>
      <c r="I157" s="681"/>
      <c r="J157" s="681"/>
      <c r="K157" s="681"/>
      <c r="L157" s="681"/>
      <c r="M157" s="682"/>
      <c r="N157" s="768">
        <f>N136</f>
        <v>208.06</v>
      </c>
      <c r="O157" s="769"/>
      <c r="P157" s="770"/>
    </row>
    <row r="158" spans="1:17" ht="15.6">
      <c r="A158" s="633" t="s">
        <v>565</v>
      </c>
      <c r="B158" s="634"/>
      <c r="C158" s="634"/>
      <c r="D158" s="634"/>
      <c r="E158" s="634"/>
      <c r="F158" s="634"/>
      <c r="G158" s="634"/>
      <c r="H158" s="634"/>
      <c r="I158" s="634"/>
      <c r="J158" s="634"/>
      <c r="K158" s="634"/>
      <c r="L158" s="634"/>
      <c r="M158" s="635"/>
      <c r="N158" s="765">
        <f>SUM(N153:P157)</f>
        <v>4275.05</v>
      </c>
      <c r="O158" s="766"/>
      <c r="P158" s="767"/>
    </row>
    <row r="159" spans="1:17" ht="15.6">
      <c r="A159" s="7" t="s">
        <v>58</v>
      </c>
      <c r="B159" s="680" t="s">
        <v>566</v>
      </c>
      <c r="C159" s="681"/>
      <c r="D159" s="681"/>
      <c r="E159" s="681"/>
      <c r="F159" s="681"/>
      <c r="G159" s="681"/>
      <c r="H159" s="681"/>
      <c r="I159" s="681"/>
      <c r="J159" s="681"/>
      <c r="K159" s="681"/>
      <c r="L159" s="681"/>
      <c r="M159" s="682"/>
      <c r="N159" s="768">
        <f>N147</f>
        <v>1416.8</v>
      </c>
      <c r="O159" s="769"/>
      <c r="P159" s="770"/>
    </row>
    <row r="160" spans="1:17" ht="15.6">
      <c r="A160" s="633" t="s">
        <v>567</v>
      </c>
      <c r="B160" s="634"/>
      <c r="C160" s="634"/>
      <c r="D160" s="634"/>
      <c r="E160" s="634"/>
      <c r="F160" s="634"/>
      <c r="G160" s="634"/>
      <c r="H160" s="634"/>
      <c r="I160" s="634"/>
      <c r="J160" s="634"/>
      <c r="K160" s="634"/>
      <c r="L160" s="634"/>
      <c r="M160" s="635"/>
      <c r="N160" s="765">
        <f>SUM(N158:P159)</f>
        <v>5691.85</v>
      </c>
      <c r="O160" s="766"/>
      <c r="P160" s="767"/>
    </row>
    <row r="161" spans="1:16" ht="15.6">
      <c r="A161" s="633" t="s">
        <v>568</v>
      </c>
      <c r="B161" s="634"/>
      <c r="C161" s="634"/>
      <c r="D161" s="634"/>
      <c r="E161" s="634"/>
      <c r="F161" s="634"/>
      <c r="G161" s="634"/>
      <c r="H161" s="634"/>
      <c r="I161" s="634"/>
      <c r="J161" s="634"/>
      <c r="K161" s="634"/>
      <c r="L161" s="634"/>
      <c r="M161" s="635"/>
      <c r="N161" s="665">
        <f>N160*N20</f>
        <v>5691.85</v>
      </c>
      <c r="O161" s="666"/>
      <c r="P161" s="667"/>
    </row>
  </sheetData>
  <mergeCells count="259">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3:P103"/>
    <mergeCell ref="A104:P104"/>
    <mergeCell ref="A105:P105"/>
    <mergeCell ref="A107:P107"/>
    <mergeCell ref="B108:M108"/>
    <mergeCell ref="N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A116:M116"/>
    <mergeCell ref="N116:P116"/>
    <mergeCell ref="A117:P117"/>
    <mergeCell ref="A119:P119"/>
    <mergeCell ref="B120:M120"/>
    <mergeCell ref="N120:P120"/>
    <mergeCell ref="B121:M121"/>
    <mergeCell ref="N121:P121"/>
    <mergeCell ref="A122:M122"/>
    <mergeCell ref="N122:P122"/>
    <mergeCell ref="A123:P123"/>
    <mergeCell ref="A125:P125"/>
    <mergeCell ref="B126:M126"/>
    <mergeCell ref="N126:P126"/>
    <mergeCell ref="B127:M127"/>
    <mergeCell ref="N127:P127"/>
    <mergeCell ref="B128:M128"/>
    <mergeCell ref="N128:P128"/>
    <mergeCell ref="A129:M129"/>
    <mergeCell ref="N129:P129"/>
    <mergeCell ref="A131:P131"/>
    <mergeCell ref="B132:M132"/>
    <mergeCell ref="N132:P132"/>
    <mergeCell ref="B133:M133"/>
    <mergeCell ref="N133:P133"/>
    <mergeCell ref="B134:M134"/>
    <mergeCell ref="N134:P134"/>
    <mergeCell ref="B135:M135"/>
    <mergeCell ref="N135:P135"/>
    <mergeCell ref="A136:M136"/>
    <mergeCell ref="N136:P136"/>
    <mergeCell ref="A137:P137"/>
    <mergeCell ref="A139:P139"/>
    <mergeCell ref="B140:K140"/>
    <mergeCell ref="L140:M140"/>
    <mergeCell ref="N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A147:K147"/>
    <mergeCell ref="L147:M147"/>
    <mergeCell ref="N147:P147"/>
    <mergeCell ref="A148:P148"/>
    <mergeCell ref="A149:P149"/>
    <mergeCell ref="A151:P151"/>
    <mergeCell ref="B152:M152"/>
    <mergeCell ref="N152:P152"/>
    <mergeCell ref="B153:M153"/>
    <mergeCell ref="N153:P153"/>
    <mergeCell ref="N158:P158"/>
    <mergeCell ref="B159:M159"/>
    <mergeCell ref="N159:P159"/>
    <mergeCell ref="B154:M154"/>
    <mergeCell ref="N154:P154"/>
    <mergeCell ref="B155:M155"/>
    <mergeCell ref="N155:P155"/>
    <mergeCell ref="B156:M156"/>
    <mergeCell ref="N156:P156"/>
    <mergeCell ref="A160:M160"/>
    <mergeCell ref="N160:P160"/>
    <mergeCell ref="A161:M161"/>
    <mergeCell ref="N161:P161"/>
    <mergeCell ref="A17:D19"/>
    <mergeCell ref="E17:M19"/>
    <mergeCell ref="N17:P19"/>
    <mergeCell ref="B157:M157"/>
    <mergeCell ref="N157:P157"/>
    <mergeCell ref="A158:M158"/>
  </mergeCells>
  <pageMargins left="0.511811024" right="0.511811024" top="0.78740157499999996" bottom="0.78740157499999996" header="0.31496062000000002" footer="0.31496062000000002"/>
  <pageSetup paperSize="9" scale="30"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showGridLines="0" topLeftCell="A7" zoomScaleNormal="100" workbookViewId="0">
      <selection activeCell="B11" sqref="B11:B18"/>
    </sheetView>
  </sheetViews>
  <sheetFormatPr defaultColWidth="9.109375" defaultRowHeight="13.2"/>
  <cols>
    <col min="1" max="1" width="56.5546875" bestFit="1" customWidth="1"/>
    <col min="2" max="2" width="10.88671875" customWidth="1"/>
    <col min="3" max="3" width="10.6640625" customWidth="1"/>
    <col min="5" max="5" width="16.5546875" customWidth="1"/>
    <col min="6" max="6" width="12.88671875" customWidth="1"/>
  </cols>
  <sheetData>
    <row r="1" spans="1:8" ht="30.6">
      <c r="A1" s="102" t="s">
        <v>580</v>
      </c>
      <c r="B1" s="102" t="s">
        <v>581</v>
      </c>
      <c r="C1" s="102" t="s">
        <v>582</v>
      </c>
      <c r="D1" s="102" t="s">
        <v>583</v>
      </c>
      <c r="E1" s="102" t="s">
        <v>584</v>
      </c>
      <c r="F1" s="102" t="s">
        <v>585</v>
      </c>
    </row>
    <row r="2" spans="1:8">
      <c r="A2" s="138" t="s">
        <v>586</v>
      </c>
      <c r="B2" s="127">
        <v>252.12</v>
      </c>
      <c r="C2" s="105">
        <v>1</v>
      </c>
      <c r="D2" s="105">
        <v>10</v>
      </c>
      <c r="E2" s="106">
        <v>0.1</v>
      </c>
      <c r="F2" s="107">
        <f>((B2*C2)*E2)/12</f>
        <v>2.1</v>
      </c>
      <c r="H2" s="133"/>
    </row>
    <row r="3" spans="1:8">
      <c r="A3" s="132" t="s">
        <v>587</v>
      </c>
      <c r="B3" s="130">
        <v>629.03</v>
      </c>
      <c r="C3" s="109">
        <v>1</v>
      </c>
      <c r="D3" s="110">
        <v>10</v>
      </c>
      <c r="E3" s="111">
        <v>0.1</v>
      </c>
      <c r="F3" s="107">
        <f>((B3*C3)*E3)/12</f>
        <v>5.24</v>
      </c>
    </row>
    <row r="4" spans="1:8">
      <c r="A4" s="129" t="s">
        <v>588</v>
      </c>
      <c r="B4" s="130">
        <v>220.6</v>
      </c>
      <c r="C4" s="109">
        <v>1</v>
      </c>
      <c r="D4" s="110">
        <v>10</v>
      </c>
      <c r="E4" s="111">
        <v>0.1</v>
      </c>
      <c r="F4" s="107">
        <f>((B4*C4)*E4)/12</f>
        <v>1.84</v>
      </c>
    </row>
    <row r="5" spans="1:8">
      <c r="A5" s="139"/>
      <c r="B5" s="115"/>
      <c r="C5" s="116"/>
      <c r="D5" s="117"/>
      <c r="E5" s="118" t="s">
        <v>19</v>
      </c>
      <c r="F5" s="119">
        <f>SUM(F1:F4)</f>
        <v>9.18</v>
      </c>
      <c r="H5" s="133"/>
    </row>
    <row r="6" spans="1:8" ht="30.6">
      <c r="A6" s="139"/>
      <c r="B6" s="115"/>
      <c r="C6" s="116"/>
      <c r="D6" s="117"/>
      <c r="E6" s="120" t="s">
        <v>589</v>
      </c>
      <c r="F6" s="121">
        <v>9</v>
      </c>
    </row>
    <row r="7" spans="1:8" ht="20.399999999999999">
      <c r="A7" s="114"/>
      <c r="B7" s="115"/>
      <c r="C7" s="116"/>
      <c r="D7" s="117"/>
      <c r="E7" s="122" t="s">
        <v>590</v>
      </c>
      <c r="F7" s="123">
        <f>F5/F6</f>
        <v>1.02</v>
      </c>
    </row>
    <row r="8" spans="1:8">
      <c r="A8" s="114"/>
      <c r="B8" s="115"/>
      <c r="C8" s="116"/>
      <c r="D8" s="117"/>
      <c r="E8" s="124"/>
      <c r="F8" s="125"/>
    </row>
    <row r="9" spans="1:8">
      <c r="A9" s="114"/>
      <c r="B9" s="115"/>
      <c r="C9" s="116"/>
      <c r="D9" s="117"/>
      <c r="E9" s="124"/>
      <c r="F9" s="125"/>
    </row>
    <row r="10" spans="1:8" ht="30.6">
      <c r="A10" s="102" t="s">
        <v>591</v>
      </c>
      <c r="B10" s="102" t="s">
        <v>581</v>
      </c>
      <c r="C10" s="102" t="s">
        <v>582</v>
      </c>
      <c r="D10" s="102" t="s">
        <v>583</v>
      </c>
      <c r="E10" s="102" t="s">
        <v>584</v>
      </c>
      <c r="F10" s="102" t="s">
        <v>585</v>
      </c>
    </row>
    <row r="11" spans="1:8">
      <c r="A11" s="132" t="s">
        <v>592</v>
      </c>
      <c r="B11" s="127">
        <v>391.89</v>
      </c>
      <c r="C11" s="105">
        <v>1</v>
      </c>
      <c r="D11" s="105">
        <v>10</v>
      </c>
      <c r="E11" s="106">
        <v>0.1</v>
      </c>
      <c r="F11" s="107">
        <f>((B11*C11)*E11)/12</f>
        <v>3.27</v>
      </c>
    </row>
    <row r="12" spans="1:8">
      <c r="A12" s="132" t="s">
        <v>593</v>
      </c>
      <c r="B12" s="130">
        <v>804.4</v>
      </c>
      <c r="C12" s="109">
        <v>1</v>
      </c>
      <c r="D12" s="110">
        <v>10</v>
      </c>
      <c r="E12" s="111">
        <v>0.1</v>
      </c>
      <c r="F12" s="107">
        <f t="shared" ref="F12:F18" si="0">((B12*C12)*E12)/12</f>
        <v>6.7</v>
      </c>
    </row>
    <row r="13" spans="1:8" ht="40.799999999999997">
      <c r="A13" s="132" t="s">
        <v>594</v>
      </c>
      <c r="B13" s="130">
        <v>56.39</v>
      </c>
      <c r="C13" s="109">
        <v>1</v>
      </c>
      <c r="D13" s="110">
        <v>10</v>
      </c>
      <c r="E13" s="111">
        <v>0.1</v>
      </c>
      <c r="F13" s="107">
        <f t="shared" si="0"/>
        <v>0.47</v>
      </c>
    </row>
    <row r="14" spans="1:8" ht="91.8">
      <c r="A14" s="132" t="s">
        <v>595</v>
      </c>
      <c r="B14" s="127">
        <v>599.21</v>
      </c>
      <c r="C14" s="105">
        <v>1</v>
      </c>
      <c r="D14" s="105">
        <v>10</v>
      </c>
      <c r="E14" s="106">
        <v>0.1</v>
      </c>
      <c r="F14" s="107">
        <f t="shared" si="0"/>
        <v>4.99</v>
      </c>
    </row>
    <row r="15" spans="1:8" ht="91.8">
      <c r="A15" s="132" t="s">
        <v>596</v>
      </c>
      <c r="B15" s="130">
        <v>357.38</v>
      </c>
      <c r="C15" s="109">
        <v>1</v>
      </c>
      <c r="D15" s="110">
        <v>10</v>
      </c>
      <c r="E15" s="111">
        <v>0.1</v>
      </c>
      <c r="F15" s="107">
        <f t="shared" si="0"/>
        <v>2.98</v>
      </c>
      <c r="G15" s="133"/>
    </row>
    <row r="16" spans="1:8" ht="40.799999999999997">
      <c r="A16" s="132" t="s">
        <v>597</v>
      </c>
      <c r="B16" s="130">
        <v>757.1</v>
      </c>
      <c r="C16" s="109">
        <v>1</v>
      </c>
      <c r="D16" s="110">
        <v>10</v>
      </c>
      <c r="E16" s="111">
        <v>0.1</v>
      </c>
      <c r="F16" s="107">
        <f t="shared" si="0"/>
        <v>6.31</v>
      </c>
    </row>
    <row r="17" spans="1:7" ht="71.400000000000006">
      <c r="A17" s="132" t="s">
        <v>598</v>
      </c>
      <c r="B17" s="130">
        <v>775.75</v>
      </c>
      <c r="C17" s="109">
        <v>1</v>
      </c>
      <c r="D17" s="110">
        <v>10</v>
      </c>
      <c r="E17" s="111">
        <v>0.1</v>
      </c>
      <c r="F17" s="107">
        <f t="shared" si="0"/>
        <v>6.46</v>
      </c>
      <c r="G17" s="133"/>
    </row>
    <row r="18" spans="1:7" ht="40.799999999999997">
      <c r="A18" s="132" t="s">
        <v>599</v>
      </c>
      <c r="B18" s="130">
        <v>331.57</v>
      </c>
      <c r="C18" s="109">
        <v>1</v>
      </c>
      <c r="D18" s="110">
        <v>10</v>
      </c>
      <c r="E18" s="111">
        <v>0.1</v>
      </c>
      <c r="F18" s="107">
        <f t="shared" si="0"/>
        <v>2.76</v>
      </c>
      <c r="G18" s="133"/>
    </row>
    <row r="19" spans="1:7">
      <c r="E19" s="118" t="s">
        <v>19</v>
      </c>
      <c r="F19" s="119">
        <f>SUM(F11:F18)</f>
        <v>33.94</v>
      </c>
    </row>
    <row r="20" spans="1:7" ht="30.6">
      <c r="E20" s="120" t="s">
        <v>589</v>
      </c>
      <c r="F20" s="121">
        <v>2</v>
      </c>
    </row>
    <row r="21" spans="1:7" ht="20.399999999999999">
      <c r="E21" s="122" t="s">
        <v>590</v>
      </c>
      <c r="F21" s="123">
        <f>F19/F20</f>
        <v>16.97</v>
      </c>
    </row>
  </sheetData>
  <pageMargins left="0.511811024" right="0.511811024" top="0.78740157499999996" bottom="0.78740157499999996" header="0.31496062000000002" footer="0.31496062000000002"/>
  <pageSetup paperSize="9" scale="7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showGridLines="0" zoomScaleNormal="100" workbookViewId="0">
      <selection activeCell="H19" sqref="H19"/>
    </sheetView>
  </sheetViews>
  <sheetFormatPr defaultColWidth="9.109375" defaultRowHeight="13.2"/>
  <cols>
    <col min="1" max="1" width="64.33203125" customWidth="1"/>
    <col min="2" max="2" width="11.6640625" customWidth="1"/>
    <col min="3" max="3" width="9.88671875" customWidth="1"/>
    <col min="4" max="4" width="8.33203125" customWidth="1"/>
    <col min="5" max="5" width="16.5546875" customWidth="1"/>
    <col min="6" max="6" width="11.33203125" customWidth="1"/>
  </cols>
  <sheetData>
    <row r="1" spans="1:8" ht="30.6">
      <c r="A1" s="101" t="s">
        <v>600</v>
      </c>
      <c r="B1" s="102" t="s">
        <v>581</v>
      </c>
      <c r="C1" s="102" t="s">
        <v>582</v>
      </c>
      <c r="D1" s="102" t="s">
        <v>583</v>
      </c>
      <c r="E1" s="102" t="s">
        <v>584</v>
      </c>
      <c r="F1" s="102" t="s">
        <v>585</v>
      </c>
    </row>
    <row r="2" spans="1:8" ht="40.799999999999997">
      <c r="A2" s="108" t="s">
        <v>601</v>
      </c>
      <c r="B2" s="104">
        <v>2428.9699999999998</v>
      </c>
      <c r="C2" s="135">
        <v>1</v>
      </c>
      <c r="D2" s="135">
        <v>10</v>
      </c>
      <c r="E2" s="136">
        <v>0.1</v>
      </c>
      <c r="F2" s="107">
        <f>((B2*C2)*E2)/12</f>
        <v>20.239999999999998</v>
      </c>
      <c r="H2" s="133"/>
    </row>
    <row r="3" spans="1:8" ht="30.6">
      <c r="A3" s="108" t="s">
        <v>602</v>
      </c>
      <c r="B3" s="104">
        <v>2276.2600000000002</v>
      </c>
      <c r="C3" s="135">
        <v>1</v>
      </c>
      <c r="D3" s="135">
        <v>10</v>
      </c>
      <c r="E3" s="136">
        <v>0.1</v>
      </c>
      <c r="F3" s="107">
        <f>((B3*C3)*E3)/12</f>
        <v>18.97</v>
      </c>
      <c r="H3" s="133"/>
    </row>
    <row r="4" spans="1:8" ht="30.6">
      <c r="A4" s="112" t="s">
        <v>603</v>
      </c>
      <c r="B4" s="113">
        <v>184.8</v>
      </c>
      <c r="C4" s="135">
        <v>2</v>
      </c>
      <c r="D4" s="135">
        <v>10</v>
      </c>
      <c r="E4" s="136">
        <v>0.1</v>
      </c>
      <c r="F4" s="107">
        <f>((B4*C4)*E4)/12</f>
        <v>3.08</v>
      </c>
    </row>
    <row r="5" spans="1:8" ht="40.799999999999997">
      <c r="A5" s="112" t="s">
        <v>604</v>
      </c>
      <c r="B5" s="113">
        <v>193.78</v>
      </c>
      <c r="C5" s="135">
        <v>1</v>
      </c>
      <c r="D5" s="135">
        <v>10</v>
      </c>
      <c r="E5" s="136">
        <v>0.1</v>
      </c>
      <c r="F5" s="107">
        <f>((B5*C5)*E5)/12</f>
        <v>1.61</v>
      </c>
    </row>
    <row r="6" spans="1:8">
      <c r="E6" s="118" t="s">
        <v>19</v>
      </c>
      <c r="F6" s="119">
        <f>SUM(F2:F5)</f>
        <v>43.9</v>
      </c>
    </row>
    <row r="7" spans="1:8" ht="20.399999999999999">
      <c r="E7" s="120" t="s">
        <v>605</v>
      </c>
      <c r="F7" s="121">
        <v>32</v>
      </c>
    </row>
    <row r="8" spans="1:8" ht="29.25" customHeight="1">
      <c r="E8" s="122" t="s">
        <v>590</v>
      </c>
      <c r="F8" s="123">
        <f>F6/F7</f>
        <v>1.37</v>
      </c>
    </row>
    <row r="11" spans="1:8" ht="30.6">
      <c r="A11" s="102" t="s">
        <v>606</v>
      </c>
      <c r="B11" s="102" t="s">
        <v>581</v>
      </c>
      <c r="C11" s="102" t="s">
        <v>582</v>
      </c>
      <c r="D11" s="102" t="s">
        <v>583</v>
      </c>
      <c r="E11" s="102" t="s">
        <v>584</v>
      </c>
      <c r="F11" s="102" t="s">
        <v>585</v>
      </c>
    </row>
    <row r="12" spans="1:8">
      <c r="A12" s="137" t="s">
        <v>592</v>
      </c>
      <c r="B12" s="127">
        <v>391.89</v>
      </c>
      <c r="C12" s="105">
        <v>1</v>
      </c>
      <c r="D12" s="105">
        <v>10</v>
      </c>
      <c r="E12" s="106">
        <v>0.1</v>
      </c>
      <c r="F12" s="107">
        <f>((B12*C12)*E12)/12</f>
        <v>3.27</v>
      </c>
    </row>
    <row r="13" spans="1:8" ht="40.799999999999997">
      <c r="A13" s="129" t="s">
        <v>607</v>
      </c>
      <c r="B13" s="130">
        <v>56.39</v>
      </c>
      <c r="C13" s="109">
        <v>1</v>
      </c>
      <c r="D13" s="110">
        <v>10</v>
      </c>
      <c r="E13" s="111">
        <v>0.1</v>
      </c>
      <c r="F13" s="107">
        <f t="shared" ref="F13:F19" si="0">((B13*C13)*E13)/12</f>
        <v>0.47</v>
      </c>
    </row>
    <row r="14" spans="1:8" ht="81.599999999999994">
      <c r="A14" s="129" t="s">
        <v>608</v>
      </c>
      <c r="B14" s="130">
        <v>357.38</v>
      </c>
      <c r="C14" s="109">
        <v>1</v>
      </c>
      <c r="D14" s="110">
        <v>10</v>
      </c>
      <c r="E14" s="111">
        <v>0.1</v>
      </c>
      <c r="F14" s="107">
        <f t="shared" si="0"/>
        <v>2.98</v>
      </c>
      <c r="G14" s="133"/>
    </row>
    <row r="15" spans="1:8" ht="61.2">
      <c r="A15" s="129" t="s">
        <v>609</v>
      </c>
      <c r="B15" s="127">
        <v>775.75</v>
      </c>
      <c r="C15" s="105">
        <v>1</v>
      </c>
      <c r="D15" s="105">
        <v>10</v>
      </c>
      <c r="E15" s="106">
        <v>0.1</v>
      </c>
      <c r="F15" s="107">
        <f t="shared" si="0"/>
        <v>6.46</v>
      </c>
      <c r="G15" s="133"/>
    </row>
    <row r="16" spans="1:8" ht="20.399999999999999">
      <c r="A16" s="132" t="s">
        <v>610</v>
      </c>
      <c r="B16" s="130">
        <v>425.41</v>
      </c>
      <c r="C16" s="109">
        <v>1</v>
      </c>
      <c r="D16" s="110">
        <v>10</v>
      </c>
      <c r="E16" s="111">
        <v>0.1</v>
      </c>
      <c r="F16" s="107">
        <f t="shared" si="0"/>
        <v>3.55</v>
      </c>
    </row>
    <row r="17" spans="1:6" ht="30.6">
      <c r="A17" s="132" t="s">
        <v>611</v>
      </c>
      <c r="B17" s="130">
        <v>331.57</v>
      </c>
      <c r="C17" s="109">
        <v>1</v>
      </c>
      <c r="D17" s="110">
        <v>10</v>
      </c>
      <c r="E17" s="111">
        <v>0.1</v>
      </c>
      <c r="F17" s="107">
        <f t="shared" si="0"/>
        <v>2.76</v>
      </c>
    </row>
    <row r="18" spans="1:6" ht="40.799999999999997">
      <c r="A18" s="132" t="s">
        <v>597</v>
      </c>
      <c r="B18" s="130">
        <v>757.1</v>
      </c>
      <c r="C18" s="109">
        <v>1</v>
      </c>
      <c r="D18" s="110">
        <v>10</v>
      </c>
      <c r="E18" s="111">
        <v>0.1</v>
      </c>
      <c r="F18" s="107">
        <f t="shared" si="0"/>
        <v>6.31</v>
      </c>
    </row>
    <row r="19" spans="1:6" ht="81.599999999999994">
      <c r="A19" s="132" t="s">
        <v>612</v>
      </c>
      <c r="B19" s="130">
        <v>599.21</v>
      </c>
      <c r="C19" s="109">
        <v>1</v>
      </c>
      <c r="D19" s="110">
        <v>10</v>
      </c>
      <c r="E19" s="111">
        <v>0.1</v>
      </c>
      <c r="F19" s="107">
        <f t="shared" si="0"/>
        <v>4.99</v>
      </c>
    </row>
    <row r="20" spans="1:6">
      <c r="E20" s="118" t="s">
        <v>19</v>
      </c>
      <c r="F20" s="119">
        <f>SUM(F12:F19)</f>
        <v>30.79</v>
      </c>
    </row>
    <row r="21" spans="1:6" ht="30.6">
      <c r="E21" s="120" t="s">
        <v>589</v>
      </c>
      <c r="F21" s="121">
        <v>1</v>
      </c>
    </row>
    <row r="22" spans="1:6" ht="25.5" customHeight="1">
      <c r="E22" s="122" t="s">
        <v>590</v>
      </c>
      <c r="F22" s="123">
        <f>F20/F21</f>
        <v>30.79</v>
      </c>
    </row>
  </sheetData>
  <pageMargins left="0.511811024" right="0.511811024" top="0.78740157499999996" bottom="0.78740157499999996" header="0.31496062000000002" footer="0.31496062000000002"/>
  <pageSetup paperSize="9" scale="76" orientation="portrait" verticalDpi="30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
  <sheetViews>
    <sheetView showGridLines="0" topLeftCell="A8" zoomScaleNormal="100" workbookViewId="0">
      <selection activeCell="F29" activeCellId="2" sqref="F8 F16 F29"/>
    </sheetView>
  </sheetViews>
  <sheetFormatPr defaultColWidth="9.109375" defaultRowHeight="13.2"/>
  <cols>
    <col min="1" max="1" width="56.5546875" customWidth="1"/>
    <col min="2" max="2" width="10.88671875" customWidth="1"/>
    <col min="3" max="3" width="10.6640625" customWidth="1"/>
    <col min="5" max="5" width="16.88671875" customWidth="1"/>
    <col min="6" max="6" width="12.88671875" customWidth="1"/>
  </cols>
  <sheetData>
    <row r="1" spans="1:9" ht="30.6">
      <c r="A1" s="101" t="s">
        <v>600</v>
      </c>
      <c r="B1" s="102" t="s">
        <v>581</v>
      </c>
      <c r="C1" s="102" t="s">
        <v>582</v>
      </c>
      <c r="D1" s="102" t="s">
        <v>583</v>
      </c>
      <c r="E1" s="102" t="s">
        <v>584</v>
      </c>
      <c r="F1" s="102" t="s">
        <v>585</v>
      </c>
    </row>
    <row r="2" spans="1:9" ht="51">
      <c r="A2" s="103" t="s">
        <v>601</v>
      </c>
      <c r="B2" s="104">
        <v>2428.9699999999998</v>
      </c>
      <c r="C2" s="105">
        <v>1</v>
      </c>
      <c r="D2" s="105">
        <v>10</v>
      </c>
      <c r="E2" s="106">
        <v>0.1</v>
      </c>
      <c r="F2" s="107">
        <f>((B2*C2)*E2)/12</f>
        <v>20.239999999999998</v>
      </c>
      <c r="I2" s="133"/>
    </row>
    <row r="3" spans="1:9" ht="40.799999999999997">
      <c r="A3" s="108" t="s">
        <v>602</v>
      </c>
      <c r="B3" s="104">
        <v>2276.2600000000002</v>
      </c>
      <c r="C3" s="109">
        <v>1</v>
      </c>
      <c r="D3" s="110">
        <v>10</v>
      </c>
      <c r="E3" s="111">
        <v>0.1</v>
      </c>
      <c r="F3" s="107">
        <f>((B3*C3)*E3)/12</f>
        <v>18.97</v>
      </c>
      <c r="I3" s="134"/>
    </row>
    <row r="4" spans="1:9" ht="30.6">
      <c r="A4" s="112" t="s">
        <v>603</v>
      </c>
      <c r="B4" s="113">
        <v>184.8</v>
      </c>
      <c r="C4" s="109">
        <v>2</v>
      </c>
      <c r="D4" s="105">
        <v>10</v>
      </c>
      <c r="E4" s="106">
        <v>0.1</v>
      </c>
      <c r="F4" s="107">
        <f>((B4*C4)*E4)/12</f>
        <v>3.08</v>
      </c>
    </row>
    <row r="5" spans="1:9" ht="40.799999999999997">
      <c r="A5" s="112" t="s">
        <v>604</v>
      </c>
      <c r="B5" s="113">
        <v>193.78</v>
      </c>
      <c r="C5" s="109">
        <v>1</v>
      </c>
      <c r="D5" s="110">
        <v>10</v>
      </c>
      <c r="E5" s="111">
        <v>0.1</v>
      </c>
      <c r="F5" s="107">
        <f>((B5*C5)*E5)/12</f>
        <v>1.61</v>
      </c>
    </row>
    <row r="6" spans="1:9">
      <c r="A6" s="114"/>
      <c r="B6" s="115"/>
      <c r="C6" s="116"/>
      <c r="D6" s="117"/>
      <c r="E6" s="118" t="s">
        <v>19</v>
      </c>
      <c r="F6" s="119">
        <f>SUM(F2:F5)</f>
        <v>43.9</v>
      </c>
    </row>
    <row r="7" spans="1:9" ht="30.6">
      <c r="A7" s="114"/>
      <c r="B7" s="115"/>
      <c r="C7" s="116"/>
      <c r="D7" s="117"/>
      <c r="E7" s="120" t="s">
        <v>589</v>
      </c>
      <c r="F7" s="121">
        <v>23</v>
      </c>
    </row>
    <row r="8" spans="1:9" ht="20.399999999999999">
      <c r="A8" s="114"/>
      <c r="B8" s="115"/>
      <c r="C8" s="116"/>
      <c r="D8" s="117"/>
      <c r="E8" s="122" t="s">
        <v>590</v>
      </c>
      <c r="F8" s="123">
        <f>F6/F7</f>
        <v>1.91</v>
      </c>
    </row>
    <row r="9" spans="1:9">
      <c r="A9" s="114"/>
      <c r="B9" s="115"/>
      <c r="C9" s="116"/>
      <c r="D9" s="117"/>
      <c r="E9" s="124"/>
      <c r="F9" s="125"/>
    </row>
    <row r="10" spans="1:9">
      <c r="A10" s="114"/>
      <c r="B10" s="115"/>
      <c r="C10" s="116"/>
      <c r="D10" s="117"/>
      <c r="E10" s="124"/>
      <c r="F10" s="125"/>
    </row>
    <row r="11" spans="1:9" ht="30.6">
      <c r="A11" s="102" t="s">
        <v>580</v>
      </c>
      <c r="B11" s="102" t="s">
        <v>581</v>
      </c>
      <c r="C11" s="102" t="s">
        <v>582</v>
      </c>
      <c r="D11" s="102" t="s">
        <v>583</v>
      </c>
      <c r="E11" s="102" t="s">
        <v>584</v>
      </c>
      <c r="F11" s="102" t="s">
        <v>585</v>
      </c>
    </row>
    <row r="12" spans="1:9">
      <c r="A12" s="126" t="s">
        <v>586</v>
      </c>
      <c r="B12" s="127">
        <v>252.12</v>
      </c>
      <c r="C12" s="128">
        <v>1</v>
      </c>
      <c r="D12" s="105">
        <v>10</v>
      </c>
      <c r="E12" s="106">
        <v>0.1</v>
      </c>
      <c r="F12" s="107">
        <f>((B12*C12)*E12)/12</f>
        <v>2.1</v>
      </c>
    </row>
    <row r="13" spans="1:9">
      <c r="A13" s="129" t="s">
        <v>613</v>
      </c>
      <c r="B13" s="130">
        <v>220.6</v>
      </c>
      <c r="C13" s="131">
        <v>1</v>
      </c>
      <c r="D13" s="110">
        <v>10</v>
      </c>
      <c r="E13" s="111">
        <v>0.1</v>
      </c>
      <c r="F13" s="107">
        <f>((B13*C13)*E13)/12</f>
        <v>1.84</v>
      </c>
    </row>
    <row r="14" spans="1:9">
      <c r="B14" s="115"/>
      <c r="C14" s="115"/>
      <c r="D14" s="117"/>
      <c r="E14" s="118" t="s">
        <v>19</v>
      </c>
      <c r="F14" s="119">
        <f>SUM(F12:F13)</f>
        <v>3.94</v>
      </c>
    </row>
    <row r="15" spans="1:9" ht="30.6">
      <c r="E15" s="120" t="s">
        <v>589</v>
      </c>
      <c r="F15" s="121">
        <v>3</v>
      </c>
    </row>
    <row r="16" spans="1:9" ht="20.399999999999999">
      <c r="E16" s="122" t="s">
        <v>590</v>
      </c>
      <c r="F16" s="123">
        <f>F14/F15</f>
        <v>1.31</v>
      </c>
    </row>
    <row r="19" spans="1:6" ht="30.6">
      <c r="A19" s="102" t="s">
        <v>606</v>
      </c>
      <c r="B19" s="102" t="s">
        <v>614</v>
      </c>
      <c r="C19" s="102" t="s">
        <v>582</v>
      </c>
      <c r="D19" s="102" t="s">
        <v>583</v>
      </c>
      <c r="E19" s="102" t="s">
        <v>584</v>
      </c>
      <c r="F19" s="102" t="s">
        <v>585</v>
      </c>
    </row>
    <row r="20" spans="1:6" ht="91.8">
      <c r="A20" s="129" t="s">
        <v>608</v>
      </c>
      <c r="B20" s="127">
        <v>357.38</v>
      </c>
      <c r="C20" s="105">
        <v>1</v>
      </c>
      <c r="D20" s="105">
        <v>10</v>
      </c>
      <c r="E20" s="106">
        <v>0.1</v>
      </c>
      <c r="F20" s="107">
        <f t="shared" ref="F20:F26" si="0">((B20*C20)*E20)/12</f>
        <v>2.98</v>
      </c>
    </row>
    <row r="21" spans="1:6" ht="71.400000000000006">
      <c r="A21" s="129" t="s">
        <v>609</v>
      </c>
      <c r="B21" s="130">
        <v>777.75</v>
      </c>
      <c r="C21" s="109">
        <v>1</v>
      </c>
      <c r="D21" s="110">
        <v>10</v>
      </c>
      <c r="E21" s="111">
        <v>0.1</v>
      </c>
      <c r="F21" s="107">
        <f t="shared" si="0"/>
        <v>6.48</v>
      </c>
    </row>
    <row r="22" spans="1:6" ht="40.799999999999997">
      <c r="A22" s="129" t="s">
        <v>611</v>
      </c>
      <c r="B22" s="130">
        <v>331.57</v>
      </c>
      <c r="C22" s="109">
        <v>1</v>
      </c>
      <c r="D22" s="110">
        <v>10</v>
      </c>
      <c r="E22" s="111">
        <v>0.1</v>
      </c>
      <c r="F22" s="107">
        <f t="shared" si="0"/>
        <v>2.76</v>
      </c>
    </row>
    <row r="23" spans="1:6" ht="40.799999999999997">
      <c r="A23" s="129" t="s">
        <v>594</v>
      </c>
      <c r="B23" s="127">
        <v>56.39</v>
      </c>
      <c r="C23" s="105">
        <v>1</v>
      </c>
      <c r="D23" s="105">
        <v>10</v>
      </c>
      <c r="E23" s="106">
        <v>0.1</v>
      </c>
      <c r="F23" s="107">
        <f t="shared" si="0"/>
        <v>0.47</v>
      </c>
    </row>
    <row r="24" spans="1:6" ht="40.799999999999997">
      <c r="A24" s="132" t="s">
        <v>597</v>
      </c>
      <c r="B24" s="130">
        <v>757.1</v>
      </c>
      <c r="C24" s="109">
        <v>1</v>
      </c>
      <c r="D24" s="110">
        <v>10</v>
      </c>
      <c r="E24" s="106">
        <v>0.1</v>
      </c>
      <c r="F24" s="107">
        <f t="shared" si="0"/>
        <v>6.31</v>
      </c>
    </row>
    <row r="25" spans="1:6" ht="91.8">
      <c r="A25" s="129" t="s">
        <v>615</v>
      </c>
      <c r="B25" s="130">
        <v>599.21</v>
      </c>
      <c r="C25" s="109">
        <v>1</v>
      </c>
      <c r="D25" s="110">
        <v>10</v>
      </c>
      <c r="E25" s="111">
        <v>0.1</v>
      </c>
      <c r="F25" s="107">
        <f t="shared" si="0"/>
        <v>4.99</v>
      </c>
    </row>
    <row r="26" spans="1:6" ht="20.399999999999999">
      <c r="A26" s="129" t="s">
        <v>610</v>
      </c>
      <c r="B26" s="130">
        <v>425.41</v>
      </c>
      <c r="C26" s="109">
        <v>1</v>
      </c>
      <c r="D26" s="110">
        <v>10</v>
      </c>
      <c r="E26" s="111">
        <v>0.1</v>
      </c>
      <c r="F26" s="107">
        <f t="shared" si="0"/>
        <v>3.55</v>
      </c>
    </row>
    <row r="27" spans="1:6">
      <c r="E27" s="118" t="s">
        <v>19</v>
      </c>
      <c r="F27" s="119">
        <f>SUM(F20:F26)</f>
        <v>27.54</v>
      </c>
    </row>
    <row r="28" spans="1:6" ht="30.6">
      <c r="E28" s="120" t="s">
        <v>589</v>
      </c>
      <c r="F28" s="121">
        <v>1</v>
      </c>
    </row>
    <row r="29" spans="1:6" ht="20.399999999999999">
      <c r="E29" s="122" t="s">
        <v>590</v>
      </c>
      <c r="F29" s="123">
        <f>F27/F28</f>
        <v>27.54</v>
      </c>
    </row>
  </sheetData>
  <pageMargins left="0.511811024" right="0.511811024" top="0.78740157499999996" bottom="0.78740157499999996" header="0.31496062000000002" footer="0.31496062000000002"/>
  <pageSetup paperSize="9" scale="72" orientation="portrait" verticalDpi="300"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6"/>
  <sheetViews>
    <sheetView showGridLines="0" topLeftCell="A31" zoomScaleNormal="100" workbookViewId="0">
      <selection activeCell="F63" sqref="F62:F63"/>
    </sheetView>
  </sheetViews>
  <sheetFormatPr defaultColWidth="9.109375" defaultRowHeight="10.199999999999999"/>
  <cols>
    <col min="1" max="1" width="44.6640625" style="32" customWidth="1"/>
    <col min="2" max="2" width="9.33203125" style="32" bestFit="1" customWidth="1"/>
    <col min="3" max="3" width="10.109375" style="32" bestFit="1" customWidth="1"/>
    <col min="4" max="4" width="10.44140625" style="32" customWidth="1"/>
    <col min="5" max="5" width="9.88671875" style="32" customWidth="1"/>
    <col min="6" max="6" width="10" style="47" customWidth="1"/>
    <col min="7" max="7" width="9.109375" style="32"/>
    <col min="8" max="8" width="39" style="32" bestFit="1" customWidth="1"/>
    <col min="9" max="16384" width="9.109375" style="32"/>
  </cols>
  <sheetData>
    <row r="1" spans="1:6" ht="11.25" hidden="1" customHeight="1">
      <c r="A1" s="33"/>
      <c r="B1" s="34"/>
      <c r="C1" s="34"/>
      <c r="D1" s="34"/>
      <c r="E1" s="34"/>
    </row>
    <row r="2" spans="1:6" ht="30.6">
      <c r="A2" s="34" t="s">
        <v>616</v>
      </c>
      <c r="B2" s="34" t="s">
        <v>617</v>
      </c>
      <c r="C2" s="34" t="s">
        <v>618</v>
      </c>
      <c r="D2" s="34" t="s">
        <v>619</v>
      </c>
      <c r="E2" s="34" t="s">
        <v>620</v>
      </c>
      <c r="F2" s="48" t="s">
        <v>621</v>
      </c>
    </row>
    <row r="3" spans="1:6" ht="30.6">
      <c r="A3" s="35" t="s">
        <v>622</v>
      </c>
      <c r="B3" s="36" t="s">
        <v>623</v>
      </c>
      <c r="C3" s="36">
        <v>1</v>
      </c>
      <c r="D3" s="37">
        <v>46.31</v>
      </c>
      <c r="E3" s="38">
        <f>D3*C3</f>
        <v>46.31</v>
      </c>
      <c r="F3" s="96">
        <f>E3/12</f>
        <v>3.86</v>
      </c>
    </row>
    <row r="4" spans="1:6" ht="20.399999999999999">
      <c r="A4" s="35" t="s">
        <v>624</v>
      </c>
      <c r="B4" s="36" t="s">
        <v>623</v>
      </c>
      <c r="C4" s="36">
        <v>2</v>
      </c>
      <c r="D4" s="37">
        <v>45.39</v>
      </c>
      <c r="E4" s="38">
        <f t="shared" ref="E4:E13" si="0">D4*C4</f>
        <v>90.78</v>
      </c>
      <c r="F4" s="96">
        <f t="shared" ref="F4:F13" si="1">E4/12</f>
        <v>7.57</v>
      </c>
    </row>
    <row r="5" spans="1:6" ht="30.6">
      <c r="A5" s="35" t="s">
        <v>625</v>
      </c>
      <c r="B5" s="36" t="s">
        <v>623</v>
      </c>
      <c r="C5" s="36">
        <v>1</v>
      </c>
      <c r="D5" s="37">
        <v>42.06</v>
      </c>
      <c r="E5" s="38">
        <f t="shared" si="0"/>
        <v>42.06</v>
      </c>
      <c r="F5" s="96">
        <f t="shared" si="1"/>
        <v>3.51</v>
      </c>
    </row>
    <row r="6" spans="1:6" ht="20.399999999999999">
      <c r="A6" s="41" t="s">
        <v>626</v>
      </c>
      <c r="B6" s="36" t="s">
        <v>623</v>
      </c>
      <c r="C6" s="36">
        <v>1</v>
      </c>
      <c r="D6" s="37">
        <v>12.74</v>
      </c>
      <c r="E6" s="38">
        <f t="shared" si="0"/>
        <v>12.74</v>
      </c>
      <c r="F6" s="96">
        <f t="shared" si="1"/>
        <v>1.06</v>
      </c>
    </row>
    <row r="7" spans="1:6" ht="40.799999999999997">
      <c r="A7" s="35" t="s">
        <v>627</v>
      </c>
      <c r="B7" s="36" t="s">
        <v>623</v>
      </c>
      <c r="C7" s="36">
        <v>2</v>
      </c>
      <c r="D7" s="37">
        <v>41.5</v>
      </c>
      <c r="E7" s="38">
        <f t="shared" si="0"/>
        <v>83</v>
      </c>
      <c r="F7" s="96">
        <f t="shared" si="1"/>
        <v>6.92</v>
      </c>
    </row>
    <row r="8" spans="1:6" ht="40.799999999999997">
      <c r="A8" s="41" t="s">
        <v>628</v>
      </c>
      <c r="B8" s="36" t="s">
        <v>623</v>
      </c>
      <c r="C8" s="36">
        <v>1</v>
      </c>
      <c r="D8" s="37">
        <v>41.34</v>
      </c>
      <c r="E8" s="38">
        <f t="shared" si="0"/>
        <v>41.34</v>
      </c>
      <c r="F8" s="96">
        <f t="shared" si="1"/>
        <v>3.45</v>
      </c>
    </row>
    <row r="9" spans="1:6" ht="51">
      <c r="A9" s="41" t="s">
        <v>629</v>
      </c>
      <c r="B9" s="36" t="s">
        <v>623</v>
      </c>
      <c r="C9" s="36">
        <v>1</v>
      </c>
      <c r="D9" s="42">
        <v>52.95</v>
      </c>
      <c r="E9" s="38">
        <f t="shared" si="0"/>
        <v>52.95</v>
      </c>
      <c r="F9" s="96">
        <f t="shared" si="1"/>
        <v>4.41</v>
      </c>
    </row>
    <row r="10" spans="1:6" ht="51">
      <c r="A10" s="35" t="s">
        <v>630</v>
      </c>
      <c r="B10" s="97" t="s">
        <v>623</v>
      </c>
      <c r="C10" s="97">
        <v>6</v>
      </c>
      <c r="D10" s="37">
        <v>130.16999999999999</v>
      </c>
      <c r="E10" s="38">
        <f t="shared" si="0"/>
        <v>781.02</v>
      </c>
      <c r="F10" s="96">
        <f t="shared" si="1"/>
        <v>65.09</v>
      </c>
    </row>
    <row r="11" spans="1:6" ht="30.6">
      <c r="A11" s="35" t="s">
        <v>631</v>
      </c>
      <c r="B11" s="97" t="s">
        <v>623</v>
      </c>
      <c r="C11" s="97">
        <v>2</v>
      </c>
      <c r="D11" s="37">
        <v>13.47</v>
      </c>
      <c r="E11" s="38">
        <f t="shared" si="0"/>
        <v>26.94</v>
      </c>
      <c r="F11" s="96">
        <f t="shared" si="1"/>
        <v>2.25</v>
      </c>
    </row>
    <row r="12" spans="1:6" ht="20.399999999999999">
      <c r="A12" s="35" t="s">
        <v>632</v>
      </c>
      <c r="B12" s="97" t="s">
        <v>623</v>
      </c>
      <c r="C12" s="97">
        <v>6</v>
      </c>
      <c r="D12" s="37">
        <v>3.02</v>
      </c>
      <c r="E12" s="38">
        <f t="shared" si="0"/>
        <v>18.12</v>
      </c>
      <c r="F12" s="96">
        <f t="shared" si="1"/>
        <v>1.51</v>
      </c>
    </row>
    <row r="13" spans="1:6" ht="20.399999999999999">
      <c r="A13" s="35" t="s">
        <v>633</v>
      </c>
      <c r="B13" s="97" t="s">
        <v>623</v>
      </c>
      <c r="C13" s="97">
        <v>3</v>
      </c>
      <c r="D13" s="43">
        <v>31.9</v>
      </c>
      <c r="E13" s="38">
        <f t="shared" si="0"/>
        <v>95.7</v>
      </c>
      <c r="F13" s="96">
        <f t="shared" si="1"/>
        <v>7.98</v>
      </c>
    </row>
    <row r="14" spans="1:6" ht="15.75" customHeight="1">
      <c r="D14" s="44"/>
      <c r="E14" s="45" t="s">
        <v>19</v>
      </c>
      <c r="F14" s="98">
        <f>SUM(F3:F13)</f>
        <v>107.61</v>
      </c>
    </row>
    <row r="17" spans="1:6" ht="30.6">
      <c r="A17" s="34" t="s">
        <v>634</v>
      </c>
      <c r="B17" s="34" t="s">
        <v>617</v>
      </c>
      <c r="C17" s="34" t="s">
        <v>618</v>
      </c>
      <c r="D17" s="34" t="s">
        <v>619</v>
      </c>
      <c r="E17" s="34" t="s">
        <v>620</v>
      </c>
      <c r="F17" s="48" t="s">
        <v>621</v>
      </c>
    </row>
    <row r="18" spans="1:6" ht="40.799999999999997">
      <c r="A18" s="94" t="s">
        <v>635</v>
      </c>
      <c r="B18" s="50" t="s">
        <v>636</v>
      </c>
      <c r="C18" s="50">
        <v>200</v>
      </c>
      <c r="D18" s="51">
        <v>16.62</v>
      </c>
      <c r="E18" s="51">
        <f>D18*C18</f>
        <v>3324</v>
      </c>
      <c r="F18" s="53">
        <f>E18/12</f>
        <v>277</v>
      </c>
    </row>
    <row r="19" spans="1:6" ht="71.400000000000006">
      <c r="A19" s="94" t="s">
        <v>637</v>
      </c>
      <c r="B19" s="50" t="s">
        <v>636</v>
      </c>
      <c r="C19" s="50">
        <v>200</v>
      </c>
      <c r="D19" s="51">
        <v>5.04</v>
      </c>
      <c r="E19" s="51">
        <f t="shared" ref="E19:E24" si="2">D19*C19</f>
        <v>1008</v>
      </c>
      <c r="F19" s="53">
        <f t="shared" ref="F19:F24" si="3">E19/12</f>
        <v>84</v>
      </c>
    </row>
    <row r="20" spans="1:6" ht="51">
      <c r="A20" s="94" t="s">
        <v>638</v>
      </c>
      <c r="B20" s="50" t="s">
        <v>636</v>
      </c>
      <c r="C20" s="50">
        <v>10</v>
      </c>
      <c r="D20" s="51">
        <v>34.24</v>
      </c>
      <c r="E20" s="51">
        <f t="shared" si="2"/>
        <v>342.4</v>
      </c>
      <c r="F20" s="53">
        <f t="shared" si="3"/>
        <v>28.53</v>
      </c>
    </row>
    <row r="21" spans="1:6" ht="30.6">
      <c r="A21" s="94" t="s">
        <v>639</v>
      </c>
      <c r="B21" s="50" t="s">
        <v>636</v>
      </c>
      <c r="C21" s="50">
        <v>100</v>
      </c>
      <c r="D21" s="51">
        <v>10.66</v>
      </c>
      <c r="E21" s="51">
        <f t="shared" si="2"/>
        <v>1066</v>
      </c>
      <c r="F21" s="53">
        <f t="shared" si="3"/>
        <v>88.83</v>
      </c>
    </row>
    <row r="22" spans="1:6" ht="20.399999999999999">
      <c r="A22" s="94" t="s">
        <v>640</v>
      </c>
      <c r="B22" s="50" t="s">
        <v>636</v>
      </c>
      <c r="C22" s="50">
        <v>80</v>
      </c>
      <c r="D22" s="51">
        <v>15.81</v>
      </c>
      <c r="E22" s="51">
        <f t="shared" si="2"/>
        <v>1264.8</v>
      </c>
      <c r="F22" s="53">
        <f t="shared" si="3"/>
        <v>105.4</v>
      </c>
    </row>
    <row r="23" spans="1:6">
      <c r="A23" s="94" t="s">
        <v>641</v>
      </c>
      <c r="B23" s="50" t="s">
        <v>636</v>
      </c>
      <c r="C23" s="50">
        <v>1</v>
      </c>
      <c r="D23" s="51">
        <v>17.37</v>
      </c>
      <c r="E23" s="51">
        <f t="shared" si="2"/>
        <v>17.37</v>
      </c>
      <c r="F23" s="53">
        <f t="shared" si="3"/>
        <v>1.45</v>
      </c>
    </row>
    <row r="24" spans="1:6" ht="30.6">
      <c r="A24" s="94" t="s">
        <v>642</v>
      </c>
      <c r="B24" s="50" t="s">
        <v>643</v>
      </c>
      <c r="C24" s="50">
        <v>60</v>
      </c>
      <c r="D24" s="51">
        <v>70.88</v>
      </c>
      <c r="E24" s="51">
        <f t="shared" si="2"/>
        <v>4252.8</v>
      </c>
      <c r="F24" s="99">
        <f t="shared" si="3"/>
        <v>354.4</v>
      </c>
    </row>
    <row r="25" spans="1:6" ht="16.5" customHeight="1">
      <c r="B25" s="54"/>
      <c r="D25" s="44"/>
      <c r="E25" s="55" t="s">
        <v>19</v>
      </c>
      <c r="F25" s="56">
        <f>SUM(F18:F24)</f>
        <v>939.61</v>
      </c>
    </row>
    <row r="26" spans="1:6">
      <c r="B26" s="57"/>
    </row>
    <row r="27" spans="1:6">
      <c r="B27" s="58"/>
    </row>
    <row r="28" spans="1:6" ht="30.6">
      <c r="A28" s="34" t="s">
        <v>644</v>
      </c>
      <c r="B28" s="34" t="s">
        <v>617</v>
      </c>
      <c r="C28" s="34" t="s">
        <v>618</v>
      </c>
      <c r="D28" s="34" t="s">
        <v>619</v>
      </c>
      <c r="E28" s="34" t="s">
        <v>620</v>
      </c>
      <c r="F28" s="48" t="s">
        <v>621</v>
      </c>
    </row>
    <row r="29" spans="1:6" ht="30.6">
      <c r="A29" s="59" t="s">
        <v>645</v>
      </c>
      <c r="B29" s="69" t="s">
        <v>623</v>
      </c>
      <c r="C29" s="69">
        <v>2</v>
      </c>
      <c r="D29" s="62">
        <v>25.57</v>
      </c>
      <c r="E29" s="63">
        <f>D29*C29</f>
        <v>51.14</v>
      </c>
      <c r="F29" s="64">
        <f t="shared" ref="F29:F45" si="4">E29/12</f>
        <v>4.26</v>
      </c>
    </row>
    <row r="30" spans="1:6" ht="40.799999999999997">
      <c r="A30" s="65" t="s">
        <v>646</v>
      </c>
      <c r="B30" s="69" t="s">
        <v>623</v>
      </c>
      <c r="C30" s="69">
        <v>40</v>
      </c>
      <c r="D30" s="62">
        <v>5.03</v>
      </c>
      <c r="E30" s="63">
        <f t="shared" ref="E30:E45" si="5">D30*C30</f>
        <v>201.2</v>
      </c>
      <c r="F30" s="64">
        <f t="shared" si="4"/>
        <v>16.77</v>
      </c>
    </row>
    <row r="31" spans="1:6" ht="40.799999999999997">
      <c r="A31" s="65" t="s">
        <v>647</v>
      </c>
      <c r="B31" s="69" t="s">
        <v>623</v>
      </c>
      <c r="C31" s="69">
        <v>20</v>
      </c>
      <c r="D31" s="62">
        <v>11.35</v>
      </c>
      <c r="E31" s="63">
        <f t="shared" si="5"/>
        <v>227</v>
      </c>
      <c r="F31" s="64">
        <f t="shared" si="4"/>
        <v>18.920000000000002</v>
      </c>
    </row>
    <row r="32" spans="1:6" ht="30.6">
      <c r="A32" s="65" t="s">
        <v>648</v>
      </c>
      <c r="B32" s="69" t="s">
        <v>649</v>
      </c>
      <c r="C32" s="69">
        <v>1</v>
      </c>
      <c r="D32" s="62">
        <v>346.45</v>
      </c>
      <c r="E32" s="63">
        <f t="shared" si="5"/>
        <v>346.45</v>
      </c>
      <c r="F32" s="64">
        <f t="shared" si="4"/>
        <v>28.87</v>
      </c>
    </row>
    <row r="33" spans="1:6" ht="20.399999999999999">
      <c r="A33" s="65" t="s">
        <v>650</v>
      </c>
      <c r="B33" s="69" t="s">
        <v>649</v>
      </c>
      <c r="C33" s="69">
        <v>1</v>
      </c>
      <c r="D33" s="62">
        <v>25.11</v>
      </c>
      <c r="E33" s="63">
        <f t="shared" si="5"/>
        <v>25.11</v>
      </c>
      <c r="F33" s="64">
        <f t="shared" si="4"/>
        <v>2.09</v>
      </c>
    </row>
    <row r="34" spans="1:6">
      <c r="A34" s="65" t="s">
        <v>651</v>
      </c>
      <c r="B34" s="69" t="s">
        <v>649</v>
      </c>
      <c r="C34" s="69">
        <v>1</v>
      </c>
      <c r="D34" s="62">
        <v>26.34</v>
      </c>
      <c r="E34" s="63">
        <f t="shared" si="5"/>
        <v>26.34</v>
      </c>
      <c r="F34" s="64">
        <f t="shared" si="4"/>
        <v>2.2000000000000002</v>
      </c>
    </row>
    <row r="35" spans="1:6">
      <c r="A35" s="65" t="s">
        <v>652</v>
      </c>
      <c r="B35" s="69" t="s">
        <v>649</v>
      </c>
      <c r="C35" s="69">
        <v>1</v>
      </c>
      <c r="D35" s="62">
        <v>26.48</v>
      </c>
      <c r="E35" s="63">
        <f t="shared" si="5"/>
        <v>26.48</v>
      </c>
      <c r="F35" s="64">
        <f t="shared" si="4"/>
        <v>2.21</v>
      </c>
    </row>
    <row r="36" spans="1:6">
      <c r="A36" s="65" t="s">
        <v>653</v>
      </c>
      <c r="B36" s="69" t="s">
        <v>623</v>
      </c>
      <c r="C36" s="69">
        <v>2</v>
      </c>
      <c r="D36" s="62">
        <v>112.8</v>
      </c>
      <c r="E36" s="63">
        <f t="shared" si="5"/>
        <v>225.6</v>
      </c>
      <c r="F36" s="64">
        <f t="shared" si="4"/>
        <v>18.8</v>
      </c>
    </row>
    <row r="37" spans="1:6">
      <c r="A37" s="68" t="s">
        <v>654</v>
      </c>
      <c r="B37" s="69" t="s">
        <v>623</v>
      </c>
      <c r="C37" s="69">
        <v>10</v>
      </c>
      <c r="D37" s="62">
        <v>4.92</v>
      </c>
      <c r="E37" s="63">
        <f t="shared" si="5"/>
        <v>49.2</v>
      </c>
      <c r="F37" s="64">
        <f t="shared" si="4"/>
        <v>4.0999999999999996</v>
      </c>
    </row>
    <row r="38" spans="1:6">
      <c r="A38" s="68" t="s">
        <v>655</v>
      </c>
      <c r="B38" s="69" t="s">
        <v>623</v>
      </c>
      <c r="C38" s="69">
        <v>30</v>
      </c>
      <c r="D38" s="62">
        <v>5.26</v>
      </c>
      <c r="E38" s="63">
        <f t="shared" si="5"/>
        <v>157.80000000000001</v>
      </c>
      <c r="F38" s="64">
        <f t="shared" si="4"/>
        <v>13.15</v>
      </c>
    </row>
    <row r="39" spans="1:6">
      <c r="A39" s="68" t="s">
        <v>656</v>
      </c>
      <c r="B39" s="69" t="s">
        <v>623</v>
      </c>
      <c r="C39" s="69">
        <v>20</v>
      </c>
      <c r="D39" s="62">
        <v>6.27</v>
      </c>
      <c r="E39" s="63">
        <f t="shared" si="5"/>
        <v>125.4</v>
      </c>
      <c r="F39" s="64">
        <f t="shared" si="4"/>
        <v>10.45</v>
      </c>
    </row>
    <row r="40" spans="1:6" ht="40.799999999999997">
      <c r="A40" s="65" t="s">
        <v>657</v>
      </c>
      <c r="B40" s="69" t="s">
        <v>623</v>
      </c>
      <c r="C40" s="69">
        <v>5</v>
      </c>
      <c r="D40" s="62">
        <v>17.12</v>
      </c>
      <c r="E40" s="63">
        <f t="shared" si="5"/>
        <v>85.6</v>
      </c>
      <c r="F40" s="64">
        <f t="shared" si="4"/>
        <v>7.13</v>
      </c>
    </row>
    <row r="41" spans="1:6" ht="20.399999999999999">
      <c r="A41" s="65" t="s">
        <v>658</v>
      </c>
      <c r="B41" s="69" t="s">
        <v>659</v>
      </c>
      <c r="C41" s="69">
        <v>2</v>
      </c>
      <c r="D41" s="62">
        <v>69.45</v>
      </c>
      <c r="E41" s="63">
        <f t="shared" si="5"/>
        <v>138.9</v>
      </c>
      <c r="F41" s="64">
        <f t="shared" si="4"/>
        <v>11.58</v>
      </c>
    </row>
    <row r="42" spans="1:6" ht="20.399999999999999">
      <c r="A42" s="65" t="s">
        <v>660</v>
      </c>
      <c r="B42" s="69" t="s">
        <v>659</v>
      </c>
      <c r="C42" s="69">
        <v>5</v>
      </c>
      <c r="D42" s="62">
        <v>151.88</v>
      </c>
      <c r="E42" s="63">
        <f t="shared" si="5"/>
        <v>759.4</v>
      </c>
      <c r="F42" s="64">
        <f t="shared" si="4"/>
        <v>63.28</v>
      </c>
    </row>
    <row r="43" spans="1:6">
      <c r="A43" s="68" t="s">
        <v>661</v>
      </c>
      <c r="B43" s="69" t="s">
        <v>623</v>
      </c>
      <c r="C43" s="69">
        <v>10</v>
      </c>
      <c r="D43" s="62">
        <v>22.7</v>
      </c>
      <c r="E43" s="63">
        <f t="shared" si="5"/>
        <v>227</v>
      </c>
      <c r="F43" s="64">
        <f t="shared" si="4"/>
        <v>18.920000000000002</v>
      </c>
    </row>
    <row r="44" spans="1:6">
      <c r="A44" s="65" t="s">
        <v>662</v>
      </c>
      <c r="B44" s="69" t="s">
        <v>623</v>
      </c>
      <c r="C44" s="69">
        <v>5</v>
      </c>
      <c r="D44" s="62">
        <v>25.95</v>
      </c>
      <c r="E44" s="63">
        <f t="shared" si="5"/>
        <v>129.75</v>
      </c>
      <c r="F44" s="64">
        <f t="shared" si="4"/>
        <v>10.81</v>
      </c>
    </row>
    <row r="45" spans="1:6" ht="30.6">
      <c r="A45" s="65" t="s">
        <v>663</v>
      </c>
      <c r="B45" s="69" t="s">
        <v>664</v>
      </c>
      <c r="C45" s="69">
        <v>1</v>
      </c>
      <c r="D45" s="62">
        <v>39.89</v>
      </c>
      <c r="E45" s="63">
        <f t="shared" si="5"/>
        <v>39.89</v>
      </c>
      <c r="F45" s="64">
        <f t="shared" si="4"/>
        <v>3.32</v>
      </c>
    </row>
    <row r="46" spans="1:6" ht="17.25" customHeight="1">
      <c r="A46" s="70"/>
      <c r="B46" s="70"/>
      <c r="C46" s="70"/>
      <c r="E46" s="71" t="s">
        <v>19</v>
      </c>
      <c r="F46" s="72">
        <f>SUM(F29:F45)</f>
        <v>236.86</v>
      </c>
    </row>
    <row r="47" spans="1:6">
      <c r="A47" s="70"/>
      <c r="B47" s="70"/>
      <c r="C47" s="70"/>
    </row>
    <row r="48" spans="1:6">
      <c r="A48" s="70"/>
      <c r="B48" s="70"/>
      <c r="C48" s="70"/>
    </row>
    <row r="49" spans="1:5">
      <c r="A49" s="70"/>
      <c r="B49" s="70"/>
      <c r="C49" s="70"/>
    </row>
    <row r="50" spans="1:5">
      <c r="A50" s="70"/>
      <c r="B50" s="70"/>
      <c r="C50" s="70"/>
    </row>
    <row r="51" spans="1:5">
      <c r="A51" s="73"/>
      <c r="B51" s="70"/>
      <c r="C51" s="70"/>
    </row>
    <row r="52" spans="1:5">
      <c r="A52" s="73"/>
      <c r="B52" s="74"/>
      <c r="C52" s="74"/>
    </row>
    <row r="53" spans="1:5">
      <c r="A53" s="73"/>
      <c r="B53" s="74"/>
      <c r="C53" s="74"/>
    </row>
    <row r="54" spans="1:5">
      <c r="A54" s="75" t="s">
        <v>665</v>
      </c>
      <c r="B54" s="76" t="s">
        <v>666</v>
      </c>
      <c r="C54" s="77" t="s">
        <v>667</v>
      </c>
    </row>
    <row r="55" spans="1:5">
      <c r="A55" s="78"/>
      <c r="B55" s="79"/>
      <c r="C55" s="80"/>
    </row>
    <row r="56" spans="1:5">
      <c r="A56" s="81" t="s">
        <v>668</v>
      </c>
      <c r="B56" s="82"/>
      <c r="C56" s="83"/>
    </row>
    <row r="57" spans="1:5">
      <c r="A57" s="78" t="s">
        <v>669</v>
      </c>
      <c r="B57" s="84">
        <f>F25</f>
        <v>939.61</v>
      </c>
      <c r="C57" s="85">
        <f>B57*12</f>
        <v>11275.32</v>
      </c>
    </row>
    <row r="58" spans="1:5">
      <c r="A58" s="86" t="s">
        <v>670</v>
      </c>
      <c r="B58" s="87">
        <f>F46</f>
        <v>236.86</v>
      </c>
      <c r="C58" s="88">
        <f t="shared" ref="C58:C66" si="6">B58*12</f>
        <v>2842.32</v>
      </c>
    </row>
    <row r="59" spans="1:5">
      <c r="A59" s="86" t="s">
        <v>671</v>
      </c>
      <c r="B59" s="87">
        <f>F14</f>
        <v>107.61</v>
      </c>
      <c r="C59" s="88">
        <f t="shared" si="6"/>
        <v>1291.32</v>
      </c>
      <c r="E59" s="100"/>
    </row>
    <row r="60" spans="1:5">
      <c r="A60" s="86" t="s">
        <v>672</v>
      </c>
      <c r="B60" s="87">
        <f>SUM(B57:B59)</f>
        <v>1284.08</v>
      </c>
      <c r="C60" s="88">
        <f t="shared" si="6"/>
        <v>15408.96</v>
      </c>
    </row>
    <row r="61" spans="1:5">
      <c r="A61" s="86" t="s">
        <v>694</v>
      </c>
      <c r="B61" s="87">
        <f>B60*5%</f>
        <v>64.2</v>
      </c>
      <c r="C61" s="88">
        <f t="shared" si="6"/>
        <v>770.4</v>
      </c>
    </row>
    <row r="62" spans="1:5">
      <c r="A62" s="86" t="s">
        <v>673</v>
      </c>
      <c r="B62" s="87">
        <f>(B60+B61)*10%</f>
        <v>134.83000000000001</v>
      </c>
      <c r="C62" s="88">
        <f t="shared" si="6"/>
        <v>1617.96</v>
      </c>
    </row>
    <row r="63" spans="1:5">
      <c r="A63" s="86" t="s">
        <v>674</v>
      </c>
      <c r="B63" s="87">
        <f>((SUM(B60:B62)/0.8575)*5%)</f>
        <v>86.48</v>
      </c>
      <c r="C63" s="88">
        <f t="shared" si="6"/>
        <v>1037.76</v>
      </c>
    </row>
    <row r="64" spans="1:5">
      <c r="A64" s="86" t="s">
        <v>675</v>
      </c>
      <c r="B64" s="87">
        <f>((SUM(B60:B62)/0.8575)*1.65%)</f>
        <v>28.54</v>
      </c>
      <c r="C64" s="88">
        <f t="shared" si="6"/>
        <v>342.48</v>
      </c>
    </row>
    <row r="65" spans="1:3">
      <c r="A65" s="86" t="s">
        <v>676</v>
      </c>
      <c r="B65" s="87">
        <f>((SUM(B60:B62)/0.8575)*7.6%)</f>
        <v>131.44999999999999</v>
      </c>
      <c r="C65" s="88">
        <f t="shared" si="6"/>
        <v>1577.4</v>
      </c>
    </row>
    <row r="66" spans="1:3">
      <c r="A66" s="89" t="s">
        <v>677</v>
      </c>
      <c r="B66" s="90">
        <f>SUM(B60:B65)</f>
        <v>1729.58</v>
      </c>
      <c r="C66" s="91">
        <f t="shared" si="6"/>
        <v>20754.96</v>
      </c>
    </row>
  </sheetData>
  <pageMargins left="0.511811024" right="0.511811024" top="0.78740157499999996" bottom="0.78740157499999996" header="0.31496062000000002" footer="0.31496062000000002"/>
  <pageSetup paperSize="9" scale="47"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0"/>
  <sheetViews>
    <sheetView showGridLines="0" topLeftCell="A31" zoomScaleNormal="100" workbookViewId="0">
      <selection activeCell="H60" sqref="H60"/>
    </sheetView>
  </sheetViews>
  <sheetFormatPr defaultColWidth="9.109375" defaultRowHeight="10.199999999999999"/>
  <cols>
    <col min="1" max="1" width="44" style="32" customWidth="1"/>
    <col min="2" max="2" width="9.88671875" style="32" customWidth="1"/>
    <col min="3" max="3" width="10.109375" style="32" bestFit="1" customWidth="1"/>
    <col min="4" max="4" width="10.44140625" style="32" customWidth="1"/>
    <col min="5" max="5" width="9.88671875" style="32" customWidth="1"/>
    <col min="6" max="6" width="10" style="92" customWidth="1"/>
    <col min="7" max="7" width="9.109375" style="32"/>
    <col min="8" max="8" width="39" style="32" bestFit="1" customWidth="1"/>
    <col min="9" max="16384" width="9.109375" style="32"/>
  </cols>
  <sheetData>
    <row r="1" spans="1:6" ht="11.25" hidden="1" customHeight="1">
      <c r="A1" s="33"/>
      <c r="B1" s="34"/>
      <c r="C1" s="34"/>
      <c r="D1" s="34"/>
      <c r="E1" s="34"/>
    </row>
    <row r="2" spans="1:6" ht="30.6">
      <c r="A2" s="34" t="s">
        <v>634</v>
      </c>
      <c r="B2" s="34" t="s">
        <v>617</v>
      </c>
      <c r="C2" s="34" t="s">
        <v>618</v>
      </c>
      <c r="D2" s="34" t="s">
        <v>619</v>
      </c>
      <c r="E2" s="34" t="s">
        <v>620</v>
      </c>
      <c r="F2" s="93" t="s">
        <v>621</v>
      </c>
    </row>
    <row r="3" spans="1:6" ht="40.799999999999997">
      <c r="A3" s="94" t="s">
        <v>635</v>
      </c>
      <c r="B3" s="50" t="s">
        <v>636</v>
      </c>
      <c r="C3" s="50">
        <v>70</v>
      </c>
      <c r="D3" s="51">
        <v>16.62</v>
      </c>
      <c r="E3" s="51">
        <f>D3*C3</f>
        <v>1163.4000000000001</v>
      </c>
      <c r="F3" s="95">
        <f>E3/12</f>
        <v>96.95</v>
      </c>
    </row>
    <row r="4" spans="1:6" ht="71.400000000000006">
      <c r="A4" s="94" t="s">
        <v>637</v>
      </c>
      <c r="B4" s="50" t="s">
        <v>636</v>
      </c>
      <c r="C4" s="50">
        <v>140</v>
      </c>
      <c r="D4" s="51">
        <v>5.04</v>
      </c>
      <c r="E4" s="51">
        <f>D4*C4</f>
        <v>705.6</v>
      </c>
      <c r="F4" s="95">
        <f>E4/12</f>
        <v>58.8</v>
      </c>
    </row>
    <row r="5" spans="1:6" ht="30.6">
      <c r="A5" s="94" t="s">
        <v>639</v>
      </c>
      <c r="B5" s="50" t="s">
        <v>636</v>
      </c>
      <c r="C5" s="50">
        <v>200</v>
      </c>
      <c r="D5" s="51">
        <v>10.66</v>
      </c>
      <c r="E5" s="51">
        <f>D5*C5</f>
        <v>2132</v>
      </c>
      <c r="F5" s="95">
        <f>E5/12</f>
        <v>177.67</v>
      </c>
    </row>
    <row r="6" spans="1:6" ht="20.399999999999999">
      <c r="A6" s="94" t="s">
        <v>640</v>
      </c>
      <c r="B6" s="50" t="s">
        <v>636</v>
      </c>
      <c r="C6" s="50">
        <v>2</v>
      </c>
      <c r="D6" s="51">
        <v>15.81</v>
      </c>
      <c r="E6" s="51">
        <f>D6*C6</f>
        <v>31.62</v>
      </c>
      <c r="F6" s="95">
        <f>E6/12</f>
        <v>2.64</v>
      </c>
    </row>
    <row r="7" spans="1:6" ht="30.6">
      <c r="A7" s="94" t="s">
        <v>642</v>
      </c>
      <c r="B7" s="50" t="s">
        <v>636</v>
      </c>
      <c r="C7" s="50">
        <v>30</v>
      </c>
      <c r="D7" s="51">
        <v>70.88</v>
      </c>
      <c r="E7" s="51">
        <f>D7*C7</f>
        <v>2126.4</v>
      </c>
      <c r="F7" s="95">
        <f>E7/12</f>
        <v>177.2</v>
      </c>
    </row>
    <row r="8" spans="1:6" ht="16.5" customHeight="1">
      <c r="B8" s="54"/>
      <c r="D8" s="44"/>
      <c r="E8" s="55" t="s">
        <v>19</v>
      </c>
      <c r="F8" s="55">
        <f>SUM(F2:F7)</f>
        <v>513.26</v>
      </c>
    </row>
    <row r="9" spans="1:6">
      <c r="B9" s="57"/>
    </row>
    <row r="10" spans="1:6">
      <c r="B10" s="57"/>
    </row>
    <row r="11" spans="1:6" ht="30.6">
      <c r="A11" s="34" t="s">
        <v>644</v>
      </c>
      <c r="B11" s="34" t="s">
        <v>617</v>
      </c>
      <c r="C11" s="34" t="s">
        <v>618</v>
      </c>
      <c r="D11" s="34" t="s">
        <v>619</v>
      </c>
      <c r="E11" s="34" t="s">
        <v>620</v>
      </c>
      <c r="F11" s="93" t="s">
        <v>621</v>
      </c>
    </row>
    <row r="12" spans="1:6" ht="13.5" customHeight="1">
      <c r="A12" s="59" t="s">
        <v>645</v>
      </c>
      <c r="B12" s="69" t="s">
        <v>664</v>
      </c>
      <c r="C12" s="69">
        <v>1</v>
      </c>
      <c r="D12" s="62">
        <v>25.57</v>
      </c>
      <c r="E12" s="63">
        <f>D12*C12</f>
        <v>25.57</v>
      </c>
      <c r="F12" s="63">
        <f t="shared" ref="F12:F40" si="0">E12/12</f>
        <v>2.13</v>
      </c>
    </row>
    <row r="13" spans="1:6" ht="20.399999999999999">
      <c r="A13" s="65" t="s">
        <v>678</v>
      </c>
      <c r="B13" s="69" t="s">
        <v>664</v>
      </c>
      <c r="C13" s="69">
        <v>1</v>
      </c>
      <c r="D13" s="62">
        <v>34.64</v>
      </c>
      <c r="E13" s="63">
        <f t="shared" ref="E13:E40" si="1">D13*C13</f>
        <v>34.64</v>
      </c>
      <c r="F13" s="63">
        <f t="shared" si="0"/>
        <v>2.89</v>
      </c>
    </row>
    <row r="14" spans="1:6" ht="20.399999999999999">
      <c r="A14" s="65" t="s">
        <v>679</v>
      </c>
      <c r="B14" s="69" t="s">
        <v>649</v>
      </c>
      <c r="C14" s="69">
        <v>2</v>
      </c>
      <c r="D14" s="62">
        <v>54.17</v>
      </c>
      <c r="E14" s="63">
        <f t="shared" si="1"/>
        <v>108.34</v>
      </c>
      <c r="F14" s="63">
        <f t="shared" si="0"/>
        <v>9.0299999999999994</v>
      </c>
    </row>
    <row r="15" spans="1:6" ht="20.399999999999999">
      <c r="A15" s="65" t="s">
        <v>650</v>
      </c>
      <c r="B15" s="69" t="s">
        <v>649</v>
      </c>
      <c r="C15" s="69">
        <v>1</v>
      </c>
      <c r="D15" s="62">
        <v>25.11</v>
      </c>
      <c r="E15" s="63">
        <f t="shared" si="1"/>
        <v>25.11</v>
      </c>
      <c r="F15" s="63">
        <f t="shared" si="0"/>
        <v>2.09</v>
      </c>
    </row>
    <row r="16" spans="1:6">
      <c r="A16" s="65" t="s">
        <v>680</v>
      </c>
      <c r="B16" s="69" t="s">
        <v>649</v>
      </c>
      <c r="C16" s="69">
        <v>1</v>
      </c>
      <c r="D16" s="62">
        <v>64.84</v>
      </c>
      <c r="E16" s="63">
        <f t="shared" si="1"/>
        <v>64.84</v>
      </c>
      <c r="F16" s="63">
        <f t="shared" si="0"/>
        <v>5.4</v>
      </c>
    </row>
    <row r="17" spans="1:6" ht="20.399999999999999">
      <c r="A17" s="65" t="s">
        <v>651</v>
      </c>
      <c r="B17" s="69" t="s">
        <v>649</v>
      </c>
      <c r="C17" s="69">
        <v>1</v>
      </c>
      <c r="D17" s="62">
        <v>26.34</v>
      </c>
      <c r="E17" s="63">
        <f t="shared" si="1"/>
        <v>26.34</v>
      </c>
      <c r="F17" s="63">
        <f t="shared" si="0"/>
        <v>2.2000000000000002</v>
      </c>
    </row>
    <row r="18" spans="1:6">
      <c r="A18" s="65" t="s">
        <v>652</v>
      </c>
      <c r="B18" s="69" t="s">
        <v>649</v>
      </c>
      <c r="C18" s="69">
        <v>1</v>
      </c>
      <c r="D18" s="62">
        <v>26.48</v>
      </c>
      <c r="E18" s="63">
        <f t="shared" si="1"/>
        <v>26.48</v>
      </c>
      <c r="F18" s="63">
        <f t="shared" si="0"/>
        <v>2.21</v>
      </c>
    </row>
    <row r="19" spans="1:6">
      <c r="A19" s="65" t="s">
        <v>653</v>
      </c>
      <c r="B19" s="69" t="s">
        <v>664</v>
      </c>
      <c r="C19" s="69">
        <v>1</v>
      </c>
      <c r="D19" s="62">
        <v>112.8</v>
      </c>
      <c r="E19" s="63">
        <f t="shared" si="1"/>
        <v>112.8</v>
      </c>
      <c r="F19" s="63">
        <f t="shared" si="0"/>
        <v>9.4</v>
      </c>
    </row>
    <row r="20" spans="1:6">
      <c r="A20" s="68" t="s">
        <v>681</v>
      </c>
      <c r="B20" s="69" t="s">
        <v>664</v>
      </c>
      <c r="C20" s="69">
        <v>5</v>
      </c>
      <c r="D20" s="62">
        <v>2.77</v>
      </c>
      <c r="E20" s="63">
        <f t="shared" si="1"/>
        <v>13.85</v>
      </c>
      <c r="F20" s="63">
        <f t="shared" si="0"/>
        <v>1.1499999999999999</v>
      </c>
    </row>
    <row r="21" spans="1:6">
      <c r="A21" s="68" t="s">
        <v>682</v>
      </c>
      <c r="B21" s="69" t="s">
        <v>664</v>
      </c>
      <c r="C21" s="69">
        <v>5</v>
      </c>
      <c r="D21" s="62">
        <v>4.92</v>
      </c>
      <c r="E21" s="63">
        <f t="shared" si="1"/>
        <v>24.6</v>
      </c>
      <c r="F21" s="63">
        <f t="shared" si="0"/>
        <v>2.0499999999999998</v>
      </c>
    </row>
    <row r="22" spans="1:6">
      <c r="A22" s="68" t="s">
        <v>683</v>
      </c>
      <c r="B22" s="69" t="s">
        <v>664</v>
      </c>
      <c r="C22" s="69">
        <v>15</v>
      </c>
      <c r="D22" s="62">
        <v>5.26</v>
      </c>
      <c r="E22" s="63">
        <f t="shared" si="1"/>
        <v>78.900000000000006</v>
      </c>
      <c r="F22" s="63">
        <f t="shared" si="0"/>
        <v>6.58</v>
      </c>
    </row>
    <row r="23" spans="1:6">
      <c r="A23" s="65" t="s">
        <v>684</v>
      </c>
      <c r="B23" s="69" t="s">
        <v>664</v>
      </c>
      <c r="C23" s="69">
        <v>10</v>
      </c>
      <c r="D23" s="62">
        <v>6.27</v>
      </c>
      <c r="E23" s="63">
        <f t="shared" si="1"/>
        <v>62.7</v>
      </c>
      <c r="F23" s="63">
        <f t="shared" si="0"/>
        <v>5.23</v>
      </c>
    </row>
    <row r="24" spans="1:6" ht="40.799999999999997">
      <c r="A24" s="65" t="s">
        <v>685</v>
      </c>
      <c r="B24" s="69" t="s">
        <v>664</v>
      </c>
      <c r="C24" s="69">
        <v>1</v>
      </c>
      <c r="D24" s="62">
        <v>17.12</v>
      </c>
      <c r="E24" s="63">
        <f t="shared" si="1"/>
        <v>17.12</v>
      </c>
      <c r="F24" s="63">
        <f t="shared" si="0"/>
        <v>1.43</v>
      </c>
    </row>
    <row r="25" spans="1:6">
      <c r="A25" s="65" t="s">
        <v>661</v>
      </c>
      <c r="B25" s="69" t="s">
        <v>664</v>
      </c>
      <c r="C25" s="69">
        <v>5</v>
      </c>
      <c r="D25" s="62">
        <v>22.7</v>
      </c>
      <c r="E25" s="63">
        <f t="shared" si="1"/>
        <v>113.5</v>
      </c>
      <c r="F25" s="63">
        <f t="shared" si="0"/>
        <v>9.4600000000000009</v>
      </c>
    </row>
    <row r="26" spans="1:6">
      <c r="A26" s="68" t="s">
        <v>662</v>
      </c>
      <c r="B26" s="69" t="s">
        <v>664</v>
      </c>
      <c r="C26" s="69">
        <v>1</v>
      </c>
      <c r="D26" s="62">
        <v>25.95</v>
      </c>
      <c r="E26" s="63">
        <f t="shared" si="1"/>
        <v>25.95</v>
      </c>
      <c r="F26" s="63">
        <f t="shared" si="0"/>
        <v>2.16</v>
      </c>
    </row>
    <row r="27" spans="1:6" ht="25.5" customHeight="1">
      <c r="A27" s="65" t="s">
        <v>686</v>
      </c>
      <c r="B27" s="69" t="s">
        <v>664</v>
      </c>
      <c r="C27" s="69">
        <v>1</v>
      </c>
      <c r="D27" s="62">
        <v>53.15</v>
      </c>
      <c r="E27" s="63">
        <f t="shared" si="1"/>
        <v>53.15</v>
      </c>
      <c r="F27" s="63">
        <f t="shared" si="0"/>
        <v>4.43</v>
      </c>
    </row>
    <row r="28" spans="1:6" ht="40.799999999999997">
      <c r="A28" s="65" t="s">
        <v>687</v>
      </c>
      <c r="B28" s="69" t="s">
        <v>664</v>
      </c>
      <c r="C28" s="69">
        <v>1</v>
      </c>
      <c r="D28" s="62">
        <v>56.57</v>
      </c>
      <c r="E28" s="63">
        <f t="shared" si="1"/>
        <v>56.57</v>
      </c>
      <c r="F28" s="63">
        <f t="shared" si="0"/>
        <v>4.71</v>
      </c>
    </row>
    <row r="29" spans="1:6" ht="20.399999999999999">
      <c r="A29" s="65" t="s">
        <v>688</v>
      </c>
      <c r="B29" s="69" t="s">
        <v>664</v>
      </c>
      <c r="C29" s="69">
        <v>1</v>
      </c>
      <c r="D29" s="62">
        <v>30.99</v>
      </c>
      <c r="E29" s="63">
        <f t="shared" si="1"/>
        <v>30.99</v>
      </c>
      <c r="F29" s="63">
        <f t="shared" si="0"/>
        <v>2.58</v>
      </c>
    </row>
    <row r="30" spans="1:6" ht="20.399999999999999">
      <c r="A30" s="65" t="s">
        <v>689</v>
      </c>
      <c r="B30" s="69" t="s">
        <v>664</v>
      </c>
      <c r="C30" s="69">
        <v>1</v>
      </c>
      <c r="D30" s="62">
        <v>72.52</v>
      </c>
      <c r="E30" s="63">
        <f t="shared" si="1"/>
        <v>72.52</v>
      </c>
      <c r="F30" s="63">
        <f t="shared" si="0"/>
        <v>6.04</v>
      </c>
    </row>
    <row r="31" spans="1:6" ht="30.6">
      <c r="A31" s="65" t="s">
        <v>690</v>
      </c>
      <c r="B31" s="69" t="s">
        <v>664</v>
      </c>
      <c r="C31" s="69">
        <v>1</v>
      </c>
      <c r="D31" s="62">
        <v>28.86</v>
      </c>
      <c r="E31" s="63">
        <f t="shared" si="1"/>
        <v>28.86</v>
      </c>
      <c r="F31" s="63">
        <f t="shared" si="0"/>
        <v>2.41</v>
      </c>
    </row>
    <row r="32" spans="1:6">
      <c r="A32" s="65" t="s">
        <v>691</v>
      </c>
      <c r="B32" s="69" t="s">
        <v>664</v>
      </c>
      <c r="C32" s="69">
        <v>1</v>
      </c>
      <c r="D32" s="62">
        <v>31.44</v>
      </c>
      <c r="E32" s="63">
        <f t="shared" si="1"/>
        <v>31.44</v>
      </c>
      <c r="F32" s="63">
        <f t="shared" si="0"/>
        <v>2.62</v>
      </c>
    </row>
    <row r="33" spans="1:6" ht="30.6">
      <c r="A33" s="65" t="s">
        <v>692</v>
      </c>
      <c r="B33" s="69" t="s">
        <v>664</v>
      </c>
      <c r="C33" s="69">
        <v>3</v>
      </c>
      <c r="D33" s="62">
        <v>30.87</v>
      </c>
      <c r="E33" s="63">
        <f t="shared" si="1"/>
        <v>92.61</v>
      </c>
      <c r="F33" s="63">
        <f t="shared" si="0"/>
        <v>7.72</v>
      </c>
    </row>
    <row r="34" spans="1:6" ht="40.799999999999997">
      <c r="A34" s="65" t="s">
        <v>693</v>
      </c>
      <c r="B34" s="69" t="s">
        <v>664</v>
      </c>
      <c r="C34" s="69">
        <v>3</v>
      </c>
      <c r="D34" s="62">
        <v>33.54</v>
      </c>
      <c r="E34" s="63">
        <f t="shared" si="1"/>
        <v>100.62</v>
      </c>
      <c r="F34" s="63">
        <f t="shared" si="0"/>
        <v>8.39</v>
      </c>
    </row>
    <row r="35" spans="1:6" ht="30.6">
      <c r="A35" s="65" t="s">
        <v>663</v>
      </c>
      <c r="B35" s="69" t="s">
        <v>664</v>
      </c>
      <c r="C35" s="69">
        <v>1</v>
      </c>
      <c r="D35" s="62">
        <v>39.89</v>
      </c>
      <c r="E35" s="63">
        <f t="shared" si="1"/>
        <v>39.89</v>
      </c>
      <c r="F35" s="63">
        <f t="shared" si="0"/>
        <v>3.32</v>
      </c>
    </row>
    <row r="36" spans="1:6" ht="40.799999999999997">
      <c r="A36" s="65" t="s">
        <v>646</v>
      </c>
      <c r="B36" s="69" t="s">
        <v>623</v>
      </c>
      <c r="C36" s="69">
        <v>12</v>
      </c>
      <c r="D36" s="62">
        <v>5.03</v>
      </c>
      <c r="E36" s="63">
        <f t="shared" si="1"/>
        <v>60.36</v>
      </c>
      <c r="F36" s="63">
        <f t="shared" si="0"/>
        <v>5.03</v>
      </c>
    </row>
    <row r="37" spans="1:6" ht="40.799999999999997">
      <c r="A37" s="65" t="s">
        <v>647</v>
      </c>
      <c r="B37" s="69" t="s">
        <v>623</v>
      </c>
      <c r="C37" s="69">
        <v>9</v>
      </c>
      <c r="D37" s="62">
        <v>11.35</v>
      </c>
      <c r="E37" s="63">
        <f t="shared" si="1"/>
        <v>102.15</v>
      </c>
      <c r="F37" s="63">
        <f t="shared" si="0"/>
        <v>8.51</v>
      </c>
    </row>
    <row r="38" spans="1:6" ht="30.6">
      <c r="A38" s="65" t="s">
        <v>648</v>
      </c>
      <c r="B38" s="69" t="s">
        <v>649</v>
      </c>
      <c r="C38" s="69">
        <v>1</v>
      </c>
      <c r="D38" s="62">
        <v>346.45</v>
      </c>
      <c r="E38" s="63">
        <f t="shared" si="1"/>
        <v>346.45</v>
      </c>
      <c r="F38" s="63">
        <f t="shared" si="0"/>
        <v>28.87</v>
      </c>
    </row>
    <row r="39" spans="1:6" ht="20.399999999999999">
      <c r="A39" s="65" t="s">
        <v>658</v>
      </c>
      <c r="B39" s="69" t="s">
        <v>659</v>
      </c>
      <c r="C39" s="69">
        <v>1</v>
      </c>
      <c r="D39" s="62">
        <v>69.45</v>
      </c>
      <c r="E39" s="63">
        <f t="shared" si="1"/>
        <v>69.45</v>
      </c>
      <c r="F39" s="63">
        <f t="shared" si="0"/>
        <v>5.79</v>
      </c>
    </row>
    <row r="40" spans="1:6" ht="20.399999999999999">
      <c r="A40" s="65" t="s">
        <v>660</v>
      </c>
      <c r="B40" s="69" t="s">
        <v>659</v>
      </c>
      <c r="C40" s="69">
        <v>1</v>
      </c>
      <c r="D40" s="62">
        <v>151.88</v>
      </c>
      <c r="E40" s="63">
        <f t="shared" si="1"/>
        <v>151.88</v>
      </c>
      <c r="F40" s="63">
        <f t="shared" si="0"/>
        <v>12.66</v>
      </c>
    </row>
    <row r="41" spans="1:6" ht="16.5" customHeight="1">
      <c r="A41" s="70"/>
      <c r="B41" s="70"/>
      <c r="C41" s="70"/>
      <c r="E41" s="71" t="s">
        <v>19</v>
      </c>
      <c r="F41" s="71">
        <f>SUM(F12:F40)</f>
        <v>166.49</v>
      </c>
    </row>
    <row r="42" spans="1:6">
      <c r="B42" s="58"/>
    </row>
    <row r="43" spans="1:6">
      <c r="B43" s="58"/>
    </row>
    <row r="44" spans="1:6">
      <c r="B44" s="58"/>
    </row>
    <row r="45" spans="1:6">
      <c r="A45" s="70"/>
      <c r="B45" s="70"/>
      <c r="C45" s="70"/>
    </row>
    <row r="46" spans="1:6">
      <c r="A46" s="73"/>
      <c r="B46" s="70"/>
      <c r="C46" s="70"/>
    </row>
    <row r="47" spans="1:6">
      <c r="A47" s="73"/>
      <c r="B47" s="74"/>
      <c r="C47" s="74"/>
    </row>
    <row r="48" spans="1:6">
      <c r="A48" s="73"/>
      <c r="B48" s="74"/>
      <c r="C48" s="74"/>
    </row>
    <row r="49" spans="1:3">
      <c r="A49" s="75" t="s">
        <v>665</v>
      </c>
      <c r="B49" s="76" t="s">
        <v>666</v>
      </c>
      <c r="C49" s="77" t="s">
        <v>667</v>
      </c>
    </row>
    <row r="50" spans="1:3">
      <c r="A50" s="78"/>
      <c r="B50" s="79"/>
      <c r="C50" s="80"/>
    </row>
    <row r="51" spans="1:3">
      <c r="A51" s="81" t="s">
        <v>668</v>
      </c>
      <c r="B51" s="82"/>
      <c r="C51" s="83"/>
    </row>
    <row r="52" spans="1:3">
      <c r="A52" s="78" t="s">
        <v>669</v>
      </c>
      <c r="B52" s="84">
        <f>F8</f>
        <v>513.26</v>
      </c>
      <c r="C52" s="85">
        <f>B52*12</f>
        <v>6159.12</v>
      </c>
    </row>
    <row r="53" spans="1:3">
      <c r="A53" s="86" t="s">
        <v>670</v>
      </c>
      <c r="B53" s="87">
        <f>F41</f>
        <v>166.49</v>
      </c>
      <c r="C53" s="88">
        <f t="shared" ref="C53:C60" si="2">B53*12</f>
        <v>1997.88</v>
      </c>
    </row>
    <row r="54" spans="1:3">
      <c r="A54" s="86" t="s">
        <v>672</v>
      </c>
      <c r="B54" s="87">
        <f>SUM(B52:B53)</f>
        <v>679.75</v>
      </c>
      <c r="C54" s="88">
        <f t="shared" si="2"/>
        <v>8157</v>
      </c>
    </row>
    <row r="55" spans="1:3">
      <c r="A55" s="86" t="s">
        <v>694</v>
      </c>
      <c r="B55" s="87">
        <f>B54*5%</f>
        <v>33.99</v>
      </c>
      <c r="C55" s="88">
        <f t="shared" si="2"/>
        <v>407.88</v>
      </c>
    </row>
    <row r="56" spans="1:3">
      <c r="A56" s="86" t="s">
        <v>673</v>
      </c>
      <c r="B56" s="87">
        <f>(B54+B55)*10%</f>
        <v>71.37</v>
      </c>
      <c r="C56" s="88">
        <f t="shared" si="2"/>
        <v>856.44</v>
      </c>
    </row>
    <row r="57" spans="1:3">
      <c r="A57" s="86" t="s">
        <v>695</v>
      </c>
      <c r="B57" s="87">
        <f>((SUM(B54:B56)/0.8725)*3.5%)</f>
        <v>31.49</v>
      </c>
      <c r="C57" s="88">
        <f t="shared" si="2"/>
        <v>377.88</v>
      </c>
    </row>
    <row r="58" spans="1:3">
      <c r="A58" s="86" t="s">
        <v>675</v>
      </c>
      <c r="B58" s="87">
        <f>((SUM(B54:B56)/0.8725)*1.65%)</f>
        <v>14.85</v>
      </c>
      <c r="C58" s="88">
        <f t="shared" si="2"/>
        <v>178.2</v>
      </c>
    </row>
    <row r="59" spans="1:3">
      <c r="A59" s="86" t="s">
        <v>676</v>
      </c>
      <c r="B59" s="87">
        <f>((SUM(B54:B56)/0.8725)*7.6%)</f>
        <v>68.39</v>
      </c>
      <c r="C59" s="88">
        <f t="shared" si="2"/>
        <v>820.68</v>
      </c>
    </row>
    <row r="60" spans="1:3">
      <c r="A60" s="89" t="s">
        <v>677</v>
      </c>
      <c r="B60" s="90">
        <f>SUM(B54:B59)</f>
        <v>899.84</v>
      </c>
      <c r="C60" s="91">
        <f t="shared" si="2"/>
        <v>10798.08</v>
      </c>
    </row>
  </sheetData>
  <pageMargins left="0.511811024" right="0.511811024" top="0.78740157499999996" bottom="0.78740157499999996" header="0.31496062000000002" footer="0.31496062000000002"/>
  <pageSetup paperSize="9" scale="56"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4"/>
  <sheetViews>
    <sheetView showGridLines="0" topLeftCell="A45" zoomScaleNormal="100" workbookViewId="0">
      <selection activeCell="H73" sqref="H73"/>
    </sheetView>
  </sheetViews>
  <sheetFormatPr defaultColWidth="9.109375" defaultRowHeight="10.199999999999999"/>
  <cols>
    <col min="1" max="1" width="37.44140625" style="32" customWidth="1"/>
    <col min="2" max="2" width="9.33203125" style="32" bestFit="1" customWidth="1"/>
    <col min="3" max="3" width="10.109375" style="32" bestFit="1" customWidth="1"/>
    <col min="4" max="4" width="10.44140625" style="32" customWidth="1"/>
    <col min="5" max="5" width="9.88671875" style="32" customWidth="1"/>
    <col min="6" max="6" width="10" style="32" customWidth="1"/>
    <col min="7" max="7" width="9.109375" style="32"/>
    <col min="8" max="8" width="39" style="32" bestFit="1" customWidth="1"/>
    <col min="9" max="16384" width="9.109375" style="32"/>
  </cols>
  <sheetData>
    <row r="1" spans="1:8" ht="11.25" hidden="1" customHeight="1">
      <c r="A1" s="33"/>
      <c r="B1" s="34"/>
      <c r="C1" s="34"/>
      <c r="D1" s="34"/>
      <c r="E1" s="34"/>
    </row>
    <row r="2" spans="1:8" ht="30.6">
      <c r="A2" s="34" t="s">
        <v>616</v>
      </c>
      <c r="B2" s="34" t="s">
        <v>617</v>
      </c>
      <c r="C2" s="34" t="s">
        <v>618</v>
      </c>
      <c r="D2" s="34" t="s">
        <v>619</v>
      </c>
      <c r="E2" s="34" t="s">
        <v>620</v>
      </c>
      <c r="F2" s="34" t="s">
        <v>621</v>
      </c>
    </row>
    <row r="3" spans="1:8" ht="40.799999999999997">
      <c r="A3" s="35" t="s">
        <v>622</v>
      </c>
      <c r="B3" s="36" t="s">
        <v>623</v>
      </c>
      <c r="C3" s="36">
        <v>2</v>
      </c>
      <c r="D3" s="37">
        <v>46.31</v>
      </c>
      <c r="E3" s="38">
        <f>D3*C3</f>
        <v>92.62</v>
      </c>
      <c r="F3" s="38">
        <f>E3/12</f>
        <v>7.72</v>
      </c>
      <c r="G3" s="39"/>
      <c r="H3" s="40"/>
    </row>
    <row r="4" spans="1:8" ht="20.399999999999999">
      <c r="A4" s="35" t="s">
        <v>624</v>
      </c>
      <c r="B4" s="36" t="s">
        <v>623</v>
      </c>
      <c r="C4" s="36">
        <v>2</v>
      </c>
      <c r="D4" s="37">
        <v>45.39</v>
      </c>
      <c r="E4" s="38">
        <f t="shared" ref="E4:E11" si="0">D4*C4</f>
        <v>90.78</v>
      </c>
      <c r="F4" s="38">
        <f t="shared" ref="F4:F11" si="1">E4/12</f>
        <v>7.57</v>
      </c>
      <c r="G4" s="39"/>
      <c r="H4" s="40"/>
    </row>
    <row r="5" spans="1:8" ht="40.799999999999997">
      <c r="A5" s="35" t="s">
        <v>696</v>
      </c>
      <c r="B5" s="36" t="s">
        <v>623</v>
      </c>
      <c r="C5" s="36">
        <v>2</v>
      </c>
      <c r="D5" s="37">
        <v>42.06</v>
      </c>
      <c r="E5" s="38">
        <f t="shared" si="0"/>
        <v>84.12</v>
      </c>
      <c r="F5" s="38">
        <f t="shared" si="1"/>
        <v>7.01</v>
      </c>
      <c r="G5" s="39"/>
      <c r="H5" s="40"/>
    </row>
    <row r="6" spans="1:8" ht="20.399999999999999">
      <c r="A6" s="41" t="s">
        <v>626</v>
      </c>
      <c r="B6" s="36" t="s">
        <v>623</v>
      </c>
      <c r="C6" s="36">
        <v>2</v>
      </c>
      <c r="D6" s="37">
        <v>12.74</v>
      </c>
      <c r="E6" s="38">
        <f t="shared" si="0"/>
        <v>25.48</v>
      </c>
      <c r="F6" s="38">
        <f t="shared" si="1"/>
        <v>2.12</v>
      </c>
      <c r="G6" s="39"/>
      <c r="H6" s="40"/>
    </row>
    <row r="7" spans="1:8" ht="40.799999999999997">
      <c r="A7" s="35" t="s">
        <v>627</v>
      </c>
      <c r="B7" s="36" t="s">
        <v>623</v>
      </c>
      <c r="C7" s="36">
        <v>2</v>
      </c>
      <c r="D7" s="37">
        <v>41.5</v>
      </c>
      <c r="E7" s="38">
        <f t="shared" si="0"/>
        <v>83</v>
      </c>
      <c r="F7" s="38">
        <f t="shared" si="1"/>
        <v>6.92</v>
      </c>
      <c r="G7" s="39"/>
      <c r="H7" s="40"/>
    </row>
    <row r="8" spans="1:8" ht="51">
      <c r="A8" s="41" t="s">
        <v>628</v>
      </c>
      <c r="B8" s="36" t="s">
        <v>623</v>
      </c>
      <c r="C8" s="36">
        <v>2</v>
      </c>
      <c r="D8" s="37">
        <v>41.34</v>
      </c>
      <c r="E8" s="38">
        <f t="shared" si="0"/>
        <v>82.68</v>
      </c>
      <c r="F8" s="38">
        <f t="shared" si="1"/>
        <v>6.89</v>
      </c>
      <c r="G8" s="39"/>
      <c r="H8" s="40"/>
    </row>
    <row r="9" spans="1:8" ht="51">
      <c r="A9" s="41" t="s">
        <v>629</v>
      </c>
      <c r="B9" s="36" t="s">
        <v>623</v>
      </c>
      <c r="C9" s="36">
        <v>1</v>
      </c>
      <c r="D9" s="42">
        <v>52.95</v>
      </c>
      <c r="E9" s="38">
        <f t="shared" si="0"/>
        <v>52.95</v>
      </c>
      <c r="F9" s="38">
        <f t="shared" si="1"/>
        <v>4.41</v>
      </c>
      <c r="G9" s="39"/>
      <c r="H9" s="40"/>
    </row>
    <row r="10" spans="1:8" ht="71.400000000000006">
      <c r="A10" s="41" t="s">
        <v>630</v>
      </c>
      <c r="B10" s="36" t="s">
        <v>623</v>
      </c>
      <c r="C10" s="36">
        <v>2</v>
      </c>
      <c r="D10" s="43">
        <v>130.16999999999999</v>
      </c>
      <c r="E10" s="38">
        <f t="shared" si="0"/>
        <v>260.33999999999997</v>
      </c>
      <c r="F10" s="38">
        <f t="shared" si="1"/>
        <v>21.7</v>
      </c>
      <c r="G10" s="39"/>
      <c r="H10" s="40"/>
    </row>
    <row r="11" spans="1:8" ht="20.399999999999999">
      <c r="A11" s="41" t="s">
        <v>632</v>
      </c>
      <c r="B11" s="36" t="s">
        <v>623</v>
      </c>
      <c r="C11" s="36">
        <v>6</v>
      </c>
      <c r="D11" s="43">
        <v>3.02</v>
      </c>
      <c r="E11" s="38">
        <f t="shared" si="0"/>
        <v>18.12</v>
      </c>
      <c r="F11" s="38">
        <f t="shared" si="1"/>
        <v>1.51</v>
      </c>
      <c r="G11" s="39"/>
      <c r="H11" s="40"/>
    </row>
    <row r="12" spans="1:8" ht="15.75" customHeight="1">
      <c r="D12" s="44"/>
      <c r="E12" s="45" t="s">
        <v>19</v>
      </c>
      <c r="F12" s="46">
        <f>SUM(F3:F11)</f>
        <v>65.849999999999994</v>
      </c>
    </row>
    <row r="13" spans="1:8">
      <c r="F13" s="47"/>
    </row>
    <row r="14" spans="1:8">
      <c r="F14" s="47"/>
    </row>
    <row r="15" spans="1:8" ht="30.6">
      <c r="A15" s="34" t="s">
        <v>634</v>
      </c>
      <c r="B15" s="34" t="s">
        <v>617</v>
      </c>
      <c r="C15" s="34" t="s">
        <v>618</v>
      </c>
      <c r="D15" s="34" t="s">
        <v>619</v>
      </c>
      <c r="E15" s="34" t="s">
        <v>620</v>
      </c>
      <c r="F15" s="48" t="s">
        <v>621</v>
      </c>
    </row>
    <row r="16" spans="1:8" ht="51">
      <c r="A16" s="49" t="s">
        <v>635</v>
      </c>
      <c r="B16" s="50" t="s">
        <v>636</v>
      </c>
      <c r="C16" s="50">
        <v>50</v>
      </c>
      <c r="D16" s="51">
        <v>16.62</v>
      </c>
      <c r="E16" s="52">
        <f>D16*C16</f>
        <v>831</v>
      </c>
      <c r="F16" s="53">
        <f>E16/12</f>
        <v>69.25</v>
      </c>
    </row>
    <row r="17" spans="1:6" ht="81.599999999999994">
      <c r="A17" s="49" t="s">
        <v>637</v>
      </c>
      <c r="B17" s="50" t="s">
        <v>636</v>
      </c>
      <c r="C17" s="50">
        <v>100</v>
      </c>
      <c r="D17" s="51">
        <v>5.04</v>
      </c>
      <c r="E17" s="52">
        <f>D17*C17</f>
        <v>504</v>
      </c>
      <c r="F17" s="53">
        <f>E17/12</f>
        <v>42</v>
      </c>
    </row>
    <row r="18" spans="1:6" ht="30.6">
      <c r="A18" s="49" t="s">
        <v>639</v>
      </c>
      <c r="B18" s="50" t="s">
        <v>636</v>
      </c>
      <c r="C18" s="50">
        <v>140</v>
      </c>
      <c r="D18" s="51">
        <v>10.66</v>
      </c>
      <c r="E18" s="52">
        <f>D18*C18</f>
        <v>1492.4</v>
      </c>
      <c r="F18" s="53">
        <f>E18/12</f>
        <v>124.37</v>
      </c>
    </row>
    <row r="19" spans="1:6" ht="20.399999999999999">
      <c r="A19" s="49" t="s">
        <v>640</v>
      </c>
      <c r="B19" s="50" t="s">
        <v>636</v>
      </c>
      <c r="C19" s="50">
        <v>1</v>
      </c>
      <c r="D19" s="51">
        <v>15.81</v>
      </c>
      <c r="E19" s="52">
        <f>D19*C19</f>
        <v>15.81</v>
      </c>
      <c r="F19" s="53">
        <f>E19/12</f>
        <v>1.32</v>
      </c>
    </row>
    <row r="20" spans="1:6" ht="30.6">
      <c r="A20" s="49" t="s">
        <v>642</v>
      </c>
      <c r="B20" s="50" t="s">
        <v>643</v>
      </c>
      <c r="C20" s="50">
        <v>24</v>
      </c>
      <c r="D20" s="51">
        <v>70.88</v>
      </c>
      <c r="E20" s="52">
        <f>D20*C20</f>
        <v>1701.12</v>
      </c>
      <c r="F20" s="53">
        <f>E20/12</f>
        <v>141.76</v>
      </c>
    </row>
    <row r="21" spans="1:6" ht="16.5" customHeight="1">
      <c r="B21" s="54"/>
      <c r="D21" s="44"/>
      <c r="E21" s="55" t="s">
        <v>19</v>
      </c>
      <c r="F21" s="56">
        <f>SUM(F16:F20)</f>
        <v>378.7</v>
      </c>
    </row>
    <row r="22" spans="1:6">
      <c r="B22" s="57"/>
      <c r="F22" s="47"/>
    </row>
    <row r="23" spans="1:6">
      <c r="B23" s="58"/>
      <c r="F23" s="47"/>
    </row>
    <row r="24" spans="1:6" ht="30.6">
      <c r="A24" s="34" t="s">
        <v>644</v>
      </c>
      <c r="B24" s="34" t="s">
        <v>617</v>
      </c>
      <c r="C24" s="34" t="s">
        <v>618</v>
      </c>
      <c r="D24" s="34" t="s">
        <v>619</v>
      </c>
      <c r="E24" s="34" t="s">
        <v>620</v>
      </c>
      <c r="F24" s="48" t="s">
        <v>621</v>
      </c>
    </row>
    <row r="25" spans="1:6" ht="30.6">
      <c r="A25" s="59" t="s">
        <v>645</v>
      </c>
      <c r="B25" s="60" t="s">
        <v>697</v>
      </c>
      <c r="C25" s="61">
        <v>1</v>
      </c>
      <c r="D25" s="62">
        <v>25.57</v>
      </c>
      <c r="E25" s="63">
        <f>D25*C25</f>
        <v>25.57</v>
      </c>
      <c r="F25" s="64">
        <f t="shared" ref="F25:F53" si="2">E25/12</f>
        <v>2.13</v>
      </c>
    </row>
    <row r="26" spans="1:6" ht="20.399999999999999">
      <c r="A26" s="65" t="s">
        <v>678</v>
      </c>
      <c r="B26" s="66" t="s">
        <v>664</v>
      </c>
      <c r="C26" s="67">
        <v>1</v>
      </c>
      <c r="D26" s="62">
        <v>34.64</v>
      </c>
      <c r="E26" s="63">
        <f t="shared" ref="E26:E53" si="3">D26*C26</f>
        <v>34.64</v>
      </c>
      <c r="F26" s="64">
        <f t="shared" si="2"/>
        <v>2.89</v>
      </c>
    </row>
    <row r="27" spans="1:6" ht="20.399999999999999">
      <c r="A27" s="65" t="s">
        <v>679</v>
      </c>
      <c r="B27" s="66" t="s">
        <v>649</v>
      </c>
      <c r="C27" s="67">
        <v>1</v>
      </c>
      <c r="D27" s="62">
        <v>54.17</v>
      </c>
      <c r="E27" s="63">
        <f t="shared" si="3"/>
        <v>54.17</v>
      </c>
      <c r="F27" s="64">
        <f t="shared" si="2"/>
        <v>4.51</v>
      </c>
    </row>
    <row r="28" spans="1:6" ht="30.6">
      <c r="A28" s="65" t="s">
        <v>650</v>
      </c>
      <c r="B28" s="66" t="s">
        <v>649</v>
      </c>
      <c r="C28" s="67">
        <v>1</v>
      </c>
      <c r="D28" s="62">
        <v>25.11</v>
      </c>
      <c r="E28" s="63">
        <f t="shared" si="3"/>
        <v>25.11</v>
      </c>
      <c r="F28" s="64">
        <f t="shared" si="2"/>
        <v>2.09</v>
      </c>
    </row>
    <row r="29" spans="1:6" ht="20.399999999999999">
      <c r="A29" s="65" t="s">
        <v>680</v>
      </c>
      <c r="B29" s="66" t="s">
        <v>649</v>
      </c>
      <c r="C29" s="67">
        <v>1</v>
      </c>
      <c r="D29" s="62">
        <v>64.84</v>
      </c>
      <c r="E29" s="63">
        <f t="shared" si="3"/>
        <v>64.84</v>
      </c>
      <c r="F29" s="64">
        <f t="shared" si="2"/>
        <v>5.4</v>
      </c>
    </row>
    <row r="30" spans="1:6" ht="20.399999999999999">
      <c r="A30" s="65" t="s">
        <v>651</v>
      </c>
      <c r="B30" s="66" t="s">
        <v>649</v>
      </c>
      <c r="C30" s="67">
        <v>1</v>
      </c>
      <c r="D30" s="62">
        <v>26.34</v>
      </c>
      <c r="E30" s="63">
        <f t="shared" si="3"/>
        <v>26.34</v>
      </c>
      <c r="F30" s="64">
        <f t="shared" si="2"/>
        <v>2.2000000000000002</v>
      </c>
    </row>
    <row r="31" spans="1:6">
      <c r="A31" s="65" t="s">
        <v>653</v>
      </c>
      <c r="B31" s="66" t="s">
        <v>664</v>
      </c>
      <c r="C31" s="67">
        <v>1</v>
      </c>
      <c r="D31" s="62">
        <v>112.8</v>
      </c>
      <c r="E31" s="63">
        <f t="shared" si="3"/>
        <v>112.8</v>
      </c>
      <c r="F31" s="64">
        <f t="shared" si="2"/>
        <v>9.4</v>
      </c>
    </row>
    <row r="32" spans="1:6">
      <c r="A32" s="65" t="s">
        <v>681</v>
      </c>
      <c r="B32" s="66" t="s">
        <v>664</v>
      </c>
      <c r="C32" s="67">
        <v>3</v>
      </c>
      <c r="D32" s="62">
        <v>2.77</v>
      </c>
      <c r="E32" s="63">
        <f t="shared" si="3"/>
        <v>8.31</v>
      </c>
      <c r="F32" s="64">
        <f t="shared" si="2"/>
        <v>0.69</v>
      </c>
    </row>
    <row r="33" spans="1:6">
      <c r="A33" s="68" t="s">
        <v>682</v>
      </c>
      <c r="B33" s="66" t="s">
        <v>664</v>
      </c>
      <c r="C33" s="67">
        <v>3</v>
      </c>
      <c r="D33" s="62">
        <v>4.92</v>
      </c>
      <c r="E33" s="63">
        <f t="shared" si="3"/>
        <v>14.76</v>
      </c>
      <c r="F33" s="64">
        <f t="shared" si="2"/>
        <v>1.23</v>
      </c>
    </row>
    <row r="34" spans="1:6">
      <c r="A34" s="68" t="s">
        <v>683</v>
      </c>
      <c r="B34" s="66" t="s">
        <v>664</v>
      </c>
      <c r="C34" s="67">
        <v>10</v>
      </c>
      <c r="D34" s="62">
        <v>5.26</v>
      </c>
      <c r="E34" s="63">
        <f t="shared" si="3"/>
        <v>52.6</v>
      </c>
      <c r="F34" s="64">
        <f t="shared" si="2"/>
        <v>4.38</v>
      </c>
    </row>
    <row r="35" spans="1:6">
      <c r="A35" s="68" t="s">
        <v>684</v>
      </c>
      <c r="B35" s="66" t="s">
        <v>664</v>
      </c>
      <c r="C35" s="67">
        <v>10</v>
      </c>
      <c r="D35" s="62">
        <v>6.27</v>
      </c>
      <c r="E35" s="63">
        <f t="shared" si="3"/>
        <v>62.7</v>
      </c>
      <c r="F35" s="64">
        <f t="shared" si="2"/>
        <v>5.23</v>
      </c>
    </row>
    <row r="36" spans="1:6" ht="51">
      <c r="A36" s="65" t="s">
        <v>685</v>
      </c>
      <c r="B36" s="69" t="s">
        <v>664</v>
      </c>
      <c r="C36" s="69">
        <v>1</v>
      </c>
      <c r="D36" s="62">
        <v>17.12</v>
      </c>
      <c r="E36" s="63">
        <f t="shared" si="3"/>
        <v>17.12</v>
      </c>
      <c r="F36" s="64">
        <f t="shared" si="2"/>
        <v>1.43</v>
      </c>
    </row>
    <row r="37" spans="1:6">
      <c r="A37" s="65" t="s">
        <v>661</v>
      </c>
      <c r="B37" s="69" t="s">
        <v>664</v>
      </c>
      <c r="C37" s="69">
        <v>3</v>
      </c>
      <c r="D37" s="62">
        <v>22.7</v>
      </c>
      <c r="E37" s="63">
        <f t="shared" si="3"/>
        <v>68.099999999999994</v>
      </c>
      <c r="F37" s="64">
        <f t="shared" si="2"/>
        <v>5.68</v>
      </c>
    </row>
    <row r="38" spans="1:6">
      <c r="A38" s="65" t="s">
        <v>662</v>
      </c>
      <c r="B38" s="69" t="s">
        <v>664</v>
      </c>
      <c r="C38" s="69">
        <v>1</v>
      </c>
      <c r="D38" s="62">
        <v>25.95</v>
      </c>
      <c r="E38" s="63">
        <f t="shared" si="3"/>
        <v>25.95</v>
      </c>
      <c r="F38" s="64">
        <f t="shared" si="2"/>
        <v>2.16</v>
      </c>
    </row>
    <row r="39" spans="1:6" ht="40.799999999999997">
      <c r="A39" s="65" t="s">
        <v>687</v>
      </c>
      <c r="B39" s="69" t="s">
        <v>664</v>
      </c>
      <c r="C39" s="69">
        <v>1</v>
      </c>
      <c r="D39" s="62">
        <v>56.57</v>
      </c>
      <c r="E39" s="63">
        <f t="shared" si="3"/>
        <v>56.57</v>
      </c>
      <c r="F39" s="64">
        <f t="shared" si="2"/>
        <v>4.71</v>
      </c>
    </row>
    <row r="40" spans="1:6" ht="20.399999999999999">
      <c r="A40" s="65" t="s">
        <v>688</v>
      </c>
      <c r="B40" s="69" t="s">
        <v>664</v>
      </c>
      <c r="C40" s="69">
        <v>1</v>
      </c>
      <c r="D40" s="62">
        <v>30.99</v>
      </c>
      <c r="E40" s="63">
        <f t="shared" si="3"/>
        <v>30.99</v>
      </c>
      <c r="F40" s="64">
        <f t="shared" si="2"/>
        <v>2.58</v>
      </c>
    </row>
    <row r="41" spans="1:6" ht="30.6">
      <c r="A41" s="65" t="s">
        <v>690</v>
      </c>
      <c r="B41" s="69" t="s">
        <v>664</v>
      </c>
      <c r="C41" s="69">
        <v>1</v>
      </c>
      <c r="D41" s="62">
        <v>26.86</v>
      </c>
      <c r="E41" s="63">
        <f t="shared" si="3"/>
        <v>26.86</v>
      </c>
      <c r="F41" s="64">
        <f t="shared" si="2"/>
        <v>2.2400000000000002</v>
      </c>
    </row>
    <row r="42" spans="1:6">
      <c r="A42" s="65" t="s">
        <v>691</v>
      </c>
      <c r="B42" s="69" t="s">
        <v>664</v>
      </c>
      <c r="C42" s="69">
        <v>1</v>
      </c>
      <c r="D42" s="62">
        <v>31.44</v>
      </c>
      <c r="E42" s="63">
        <f t="shared" si="3"/>
        <v>31.44</v>
      </c>
      <c r="F42" s="64">
        <f t="shared" si="2"/>
        <v>2.62</v>
      </c>
    </row>
    <row r="43" spans="1:6" ht="30.6">
      <c r="A43" s="65" t="s">
        <v>692</v>
      </c>
      <c r="B43" s="69" t="s">
        <v>664</v>
      </c>
      <c r="C43" s="69">
        <v>2</v>
      </c>
      <c r="D43" s="62">
        <v>30.87</v>
      </c>
      <c r="E43" s="63">
        <f t="shared" si="3"/>
        <v>61.74</v>
      </c>
      <c r="F43" s="64">
        <f t="shared" si="2"/>
        <v>5.15</v>
      </c>
    </row>
    <row r="44" spans="1:6" ht="51">
      <c r="A44" s="65" t="s">
        <v>693</v>
      </c>
      <c r="B44" s="69" t="s">
        <v>664</v>
      </c>
      <c r="C44" s="69">
        <v>2</v>
      </c>
      <c r="D44" s="62">
        <v>33.54</v>
      </c>
      <c r="E44" s="63">
        <f t="shared" si="3"/>
        <v>67.08</v>
      </c>
      <c r="F44" s="64">
        <f t="shared" si="2"/>
        <v>5.59</v>
      </c>
    </row>
    <row r="45" spans="1:6" ht="30.6">
      <c r="A45" s="65" t="s">
        <v>663</v>
      </c>
      <c r="B45" s="69" t="s">
        <v>664</v>
      </c>
      <c r="C45" s="69">
        <v>1</v>
      </c>
      <c r="D45" s="62">
        <v>39.89</v>
      </c>
      <c r="E45" s="63">
        <f t="shared" si="3"/>
        <v>39.89</v>
      </c>
      <c r="F45" s="64">
        <f t="shared" si="2"/>
        <v>3.32</v>
      </c>
    </row>
    <row r="46" spans="1:6" ht="51">
      <c r="A46" s="65" t="s">
        <v>646</v>
      </c>
      <c r="B46" s="69" t="s">
        <v>623</v>
      </c>
      <c r="C46" s="69">
        <v>12</v>
      </c>
      <c r="D46" s="62">
        <v>5.03</v>
      </c>
      <c r="E46" s="63">
        <f t="shared" si="3"/>
        <v>60.36</v>
      </c>
      <c r="F46" s="64">
        <f t="shared" si="2"/>
        <v>5.03</v>
      </c>
    </row>
    <row r="47" spans="1:6" ht="51">
      <c r="A47" s="65" t="s">
        <v>647</v>
      </c>
      <c r="B47" s="69" t="s">
        <v>623</v>
      </c>
      <c r="C47" s="69">
        <v>9</v>
      </c>
      <c r="D47" s="62">
        <v>11.35</v>
      </c>
      <c r="E47" s="63">
        <f t="shared" si="3"/>
        <v>102.15</v>
      </c>
      <c r="F47" s="64">
        <f t="shared" si="2"/>
        <v>8.51</v>
      </c>
    </row>
    <row r="48" spans="1:6" ht="30.6">
      <c r="A48" s="65" t="s">
        <v>648</v>
      </c>
      <c r="B48" s="69" t="s">
        <v>649</v>
      </c>
      <c r="C48" s="69">
        <v>1</v>
      </c>
      <c r="D48" s="62">
        <v>346.45</v>
      </c>
      <c r="E48" s="63">
        <f t="shared" si="3"/>
        <v>346.45</v>
      </c>
      <c r="F48" s="64">
        <f t="shared" si="2"/>
        <v>28.87</v>
      </c>
    </row>
    <row r="49" spans="1:6">
      <c r="A49" s="65" t="s">
        <v>652</v>
      </c>
      <c r="B49" s="69" t="s">
        <v>649</v>
      </c>
      <c r="C49" s="69">
        <v>1</v>
      </c>
      <c r="D49" s="62">
        <v>26.48</v>
      </c>
      <c r="E49" s="63">
        <f t="shared" si="3"/>
        <v>26.48</v>
      </c>
      <c r="F49" s="64">
        <f t="shared" si="2"/>
        <v>2.21</v>
      </c>
    </row>
    <row r="50" spans="1:6" ht="20.399999999999999">
      <c r="A50" s="65" t="s">
        <v>658</v>
      </c>
      <c r="B50" s="69" t="s">
        <v>659</v>
      </c>
      <c r="C50" s="69">
        <v>1</v>
      </c>
      <c r="D50" s="62">
        <v>69.45</v>
      </c>
      <c r="E50" s="63">
        <f t="shared" si="3"/>
        <v>69.45</v>
      </c>
      <c r="F50" s="64">
        <f t="shared" si="2"/>
        <v>5.79</v>
      </c>
    </row>
    <row r="51" spans="1:6" ht="20.399999999999999">
      <c r="A51" s="65" t="s">
        <v>660</v>
      </c>
      <c r="B51" s="69" t="s">
        <v>659</v>
      </c>
      <c r="C51" s="69">
        <v>1</v>
      </c>
      <c r="D51" s="62">
        <v>151.88</v>
      </c>
      <c r="E51" s="63">
        <f t="shared" si="3"/>
        <v>151.88</v>
      </c>
      <c r="F51" s="64">
        <f t="shared" si="2"/>
        <v>12.66</v>
      </c>
    </row>
    <row r="52" spans="1:6" ht="30.6">
      <c r="A52" s="65" t="s">
        <v>686</v>
      </c>
      <c r="B52" s="69" t="s">
        <v>623</v>
      </c>
      <c r="C52" s="69">
        <v>1</v>
      </c>
      <c r="D52" s="62">
        <v>53.15</v>
      </c>
      <c r="E52" s="63">
        <f t="shared" si="3"/>
        <v>53.15</v>
      </c>
      <c r="F52" s="64">
        <f t="shared" si="2"/>
        <v>4.43</v>
      </c>
    </row>
    <row r="53" spans="1:6" ht="20.399999999999999">
      <c r="A53" s="65" t="s">
        <v>689</v>
      </c>
      <c r="B53" s="69" t="s">
        <v>623</v>
      </c>
      <c r="C53" s="69">
        <v>1</v>
      </c>
      <c r="D53" s="62">
        <v>72.52</v>
      </c>
      <c r="E53" s="63">
        <f t="shared" si="3"/>
        <v>72.52</v>
      </c>
      <c r="F53" s="64">
        <f t="shared" si="2"/>
        <v>6.04</v>
      </c>
    </row>
    <row r="54" spans="1:6" ht="16.5" customHeight="1">
      <c r="A54" s="70"/>
      <c r="B54" s="70"/>
      <c r="C54" s="70"/>
      <c r="E54" s="71" t="s">
        <v>19</v>
      </c>
      <c r="F54" s="72">
        <f>SUM(F25:F53)</f>
        <v>149.16999999999999</v>
      </c>
    </row>
    <row r="55" spans="1:6">
      <c r="B55" s="58"/>
      <c r="F55" s="47"/>
    </row>
    <row r="56" spans="1:6">
      <c r="B56" s="58"/>
    </row>
    <row r="57" spans="1:6">
      <c r="B57" s="58"/>
    </row>
    <row r="58" spans="1:6">
      <c r="A58" s="70"/>
      <c r="B58" s="70"/>
      <c r="C58" s="70"/>
    </row>
    <row r="59" spans="1:6">
      <c r="A59" s="73"/>
      <c r="B59" s="70"/>
      <c r="C59" s="70"/>
    </row>
    <row r="60" spans="1:6">
      <c r="A60" s="73"/>
      <c r="B60" s="74"/>
      <c r="C60" s="74"/>
    </row>
    <row r="61" spans="1:6">
      <c r="A61" s="73"/>
      <c r="B61" s="74"/>
      <c r="C61" s="74"/>
    </row>
    <row r="62" spans="1:6">
      <c r="A62" s="75" t="s">
        <v>665</v>
      </c>
      <c r="B62" s="76" t="s">
        <v>666</v>
      </c>
      <c r="C62" s="77" t="s">
        <v>667</v>
      </c>
    </row>
    <row r="63" spans="1:6">
      <c r="A63" s="78"/>
      <c r="B63" s="79"/>
      <c r="C63" s="80"/>
    </row>
    <row r="64" spans="1:6">
      <c r="A64" s="81" t="s">
        <v>668</v>
      </c>
      <c r="B64" s="82"/>
      <c r="C64" s="83"/>
    </row>
    <row r="65" spans="1:3">
      <c r="A65" s="78" t="s">
        <v>669</v>
      </c>
      <c r="B65" s="84">
        <f>F21</f>
        <v>378.7</v>
      </c>
      <c r="C65" s="85">
        <f>B65*12</f>
        <v>4544.3999999999996</v>
      </c>
    </row>
    <row r="66" spans="1:3">
      <c r="A66" s="86" t="s">
        <v>670</v>
      </c>
      <c r="B66" s="87">
        <f>F54</f>
        <v>149.16999999999999</v>
      </c>
      <c r="C66" s="88">
        <f t="shared" ref="C66:C74" si="4">B66*12</f>
        <v>1790.04</v>
      </c>
    </row>
    <row r="67" spans="1:3">
      <c r="A67" s="86" t="s">
        <v>671</v>
      </c>
      <c r="B67" s="87">
        <f>F12</f>
        <v>65.849999999999994</v>
      </c>
      <c r="C67" s="88">
        <f t="shared" si="4"/>
        <v>790.2</v>
      </c>
    </row>
    <row r="68" spans="1:3">
      <c r="A68" s="86" t="s">
        <v>672</v>
      </c>
      <c r="B68" s="87">
        <f>SUM(B65:B67)</f>
        <v>593.72</v>
      </c>
      <c r="C68" s="88">
        <f t="shared" si="4"/>
        <v>7124.64</v>
      </c>
    </row>
    <row r="69" spans="1:3">
      <c r="A69" s="86" t="s">
        <v>694</v>
      </c>
      <c r="B69" s="87">
        <f>B68*5%</f>
        <v>29.69</v>
      </c>
      <c r="C69" s="88">
        <f t="shared" si="4"/>
        <v>356.28</v>
      </c>
    </row>
    <row r="70" spans="1:3">
      <c r="A70" s="86" t="s">
        <v>673</v>
      </c>
      <c r="B70" s="87">
        <f>(B68+B69)*10%</f>
        <v>62.34</v>
      </c>
      <c r="C70" s="88">
        <f t="shared" si="4"/>
        <v>748.08</v>
      </c>
    </row>
    <row r="71" spans="1:3">
      <c r="A71" s="86" t="s">
        <v>698</v>
      </c>
      <c r="B71" s="87">
        <f>((SUM(B68:B70)/0.8675)*4%)</f>
        <v>31.62</v>
      </c>
      <c r="C71" s="88">
        <f t="shared" si="4"/>
        <v>379.44</v>
      </c>
    </row>
    <row r="72" spans="1:3">
      <c r="A72" s="86" t="s">
        <v>675</v>
      </c>
      <c r="B72" s="87">
        <f>((SUM(B68:B70)/0.8675)*1.65%)</f>
        <v>13.04</v>
      </c>
      <c r="C72" s="88">
        <f t="shared" si="4"/>
        <v>156.47999999999999</v>
      </c>
    </row>
    <row r="73" spans="1:3">
      <c r="A73" s="86" t="s">
        <v>676</v>
      </c>
      <c r="B73" s="87">
        <f>((SUM(B68:B70)/0.8675)*7.6%)</f>
        <v>60.08</v>
      </c>
      <c r="C73" s="88">
        <f t="shared" si="4"/>
        <v>720.96</v>
      </c>
    </row>
    <row r="74" spans="1:3">
      <c r="A74" s="89" t="s">
        <v>677</v>
      </c>
      <c r="B74" s="90">
        <f>SUM(B68:B73)</f>
        <v>790.49</v>
      </c>
      <c r="C74" s="91">
        <f t="shared" si="4"/>
        <v>9485.8799999999992</v>
      </c>
    </row>
  </sheetData>
  <pageMargins left="0.511811024" right="0.511811024" top="0.78740157499999996" bottom="0.78740157499999996" header="0.31496062000000002" footer="0.31496062000000002"/>
  <pageSetup paperSize="9" scale="37"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9"/>
  </sheetPr>
  <dimension ref="A1:P74"/>
  <sheetViews>
    <sheetView showGridLines="0" zoomScale="85" zoomScaleNormal="85" workbookViewId="0">
      <selection activeCell="A28" sqref="A28:P28"/>
    </sheetView>
  </sheetViews>
  <sheetFormatPr defaultColWidth="9.109375" defaultRowHeight="13.2"/>
  <cols>
    <col min="1" max="1" width="3.88671875" style="14" customWidth="1"/>
    <col min="2" max="3" width="9.109375" style="14"/>
    <col min="4" max="4" width="12.33203125" style="14" customWidth="1"/>
    <col min="5" max="6" width="9.109375" style="14"/>
    <col min="7" max="7" width="6.33203125" style="14" customWidth="1"/>
    <col min="8" max="12" width="9.109375" style="14"/>
    <col min="13" max="13" width="18.6640625" style="14" customWidth="1"/>
    <col min="14" max="14" width="17.5546875" style="14" customWidth="1"/>
    <col min="15" max="16384" width="9.109375" style="14"/>
  </cols>
  <sheetData>
    <row r="1" spans="1:16" ht="16.5" customHeight="1">
      <c r="A1" s="618" t="s">
        <v>289</v>
      </c>
      <c r="B1" s="619"/>
      <c r="C1" s="619"/>
      <c r="D1" s="619"/>
      <c r="E1" s="619"/>
      <c r="F1" s="619"/>
      <c r="G1" s="619"/>
      <c r="H1" s="619"/>
      <c r="I1" s="619"/>
      <c r="J1" s="619"/>
      <c r="K1" s="619"/>
      <c r="L1" s="619"/>
      <c r="M1" s="619"/>
      <c r="N1" s="619"/>
      <c r="O1" s="619"/>
      <c r="P1" s="620"/>
    </row>
    <row r="2" spans="1:16" ht="33" customHeight="1">
      <c r="A2" s="618" t="s">
        <v>290</v>
      </c>
      <c r="B2" s="619"/>
      <c r="C2" s="619"/>
      <c r="D2" s="620"/>
      <c r="E2" s="618" t="s">
        <v>291</v>
      </c>
      <c r="F2" s="619"/>
      <c r="G2" s="620"/>
      <c r="H2" s="618" t="s">
        <v>292</v>
      </c>
      <c r="I2" s="619"/>
      <c r="J2" s="620"/>
      <c r="K2" s="618" t="s">
        <v>293</v>
      </c>
      <c r="L2" s="619"/>
      <c r="M2" s="620"/>
      <c r="N2" s="618" t="s">
        <v>294</v>
      </c>
      <c r="O2" s="619"/>
      <c r="P2" s="620"/>
    </row>
    <row r="3" spans="1:16" ht="16.5" customHeight="1">
      <c r="A3" s="7">
        <v>1</v>
      </c>
      <c r="B3" s="624" t="str">
        <f>'BASE DE CÁLCULO'!C23</f>
        <v>Armazenista</v>
      </c>
      <c r="C3" s="625"/>
      <c r="D3" s="626"/>
      <c r="E3" s="641"/>
      <c r="F3" s="642"/>
      <c r="G3" s="643"/>
      <c r="H3" s="644">
        <f>'BASE DE CÁLCULO'!F23</f>
        <v>2</v>
      </c>
      <c r="I3" s="645"/>
      <c r="J3" s="646"/>
      <c r="K3" s="641"/>
      <c r="L3" s="642"/>
      <c r="M3" s="643"/>
      <c r="N3" s="641"/>
      <c r="O3" s="642"/>
      <c r="P3" s="643"/>
    </row>
    <row r="4" spans="1:16" ht="16.5" customHeight="1">
      <c r="A4" s="7">
        <v>2</v>
      </c>
      <c r="B4" s="624" t="str">
        <f>'BASE DE CÁLCULO'!C24</f>
        <v>Atendente de Refeitório</v>
      </c>
      <c r="C4" s="625"/>
      <c r="D4" s="626"/>
      <c r="E4" s="641"/>
      <c r="F4" s="642"/>
      <c r="G4" s="643"/>
      <c r="H4" s="644">
        <f>'BASE DE CÁLCULO'!F24</f>
        <v>5</v>
      </c>
      <c r="I4" s="645"/>
      <c r="J4" s="646"/>
      <c r="K4" s="641"/>
      <c r="L4" s="642"/>
      <c r="M4" s="643"/>
      <c r="N4" s="641"/>
      <c r="O4" s="642"/>
      <c r="P4" s="643"/>
    </row>
    <row r="5" spans="1:16" ht="16.5" customHeight="1">
      <c r="A5" s="7">
        <v>3</v>
      </c>
      <c r="B5" s="624" t="str">
        <f>'BASE DE CÁLCULO'!C25</f>
        <v>Auxliar de Cozinha I</v>
      </c>
      <c r="C5" s="625"/>
      <c r="D5" s="626"/>
      <c r="E5" s="641"/>
      <c r="F5" s="642"/>
      <c r="G5" s="643"/>
      <c r="H5" s="644">
        <f>'BASE DE CÁLCULO'!F25</f>
        <v>36</v>
      </c>
      <c r="I5" s="645"/>
      <c r="J5" s="646"/>
      <c r="K5" s="641"/>
      <c r="L5" s="642"/>
      <c r="M5" s="643"/>
      <c r="N5" s="641"/>
      <c r="O5" s="642"/>
      <c r="P5" s="643"/>
    </row>
    <row r="6" spans="1:16" ht="16.5" customHeight="1">
      <c r="A6" s="7">
        <v>4</v>
      </c>
      <c r="B6" s="624" t="str">
        <f>'BASE DE CÁLCULO'!C26</f>
        <v>Auxliar de Cozinha II</v>
      </c>
      <c r="C6" s="625"/>
      <c r="D6" s="626"/>
      <c r="E6" s="641"/>
      <c r="F6" s="642"/>
      <c r="G6" s="643"/>
      <c r="H6" s="644">
        <f>'BASE DE CÁLCULO'!F26</f>
        <v>7</v>
      </c>
      <c r="I6" s="645"/>
      <c r="J6" s="646"/>
      <c r="K6" s="641"/>
      <c r="L6" s="642"/>
      <c r="M6" s="643"/>
      <c r="N6" s="641"/>
      <c r="O6" s="642"/>
      <c r="P6" s="643"/>
    </row>
    <row r="7" spans="1:16" ht="16.5" customHeight="1">
      <c r="A7" s="7">
        <v>5</v>
      </c>
      <c r="B7" s="624" t="str">
        <f>'BASE DE CÁLCULO'!C27</f>
        <v>Auxiliar de Cozinha III</v>
      </c>
      <c r="C7" s="625"/>
      <c r="D7" s="626"/>
      <c r="E7" s="641"/>
      <c r="F7" s="642"/>
      <c r="G7" s="643"/>
      <c r="H7" s="644">
        <f>'BASE DE CÁLCULO'!F27</f>
        <v>3</v>
      </c>
      <c r="I7" s="645"/>
      <c r="J7" s="646"/>
      <c r="K7" s="641"/>
      <c r="L7" s="642"/>
      <c r="M7" s="643"/>
      <c r="N7" s="641"/>
      <c r="O7" s="642"/>
      <c r="P7" s="643"/>
    </row>
    <row r="8" spans="1:16" ht="16.5" customHeight="1">
      <c r="A8" s="7">
        <v>6</v>
      </c>
      <c r="B8" s="624" t="str">
        <f>'BASE DE CÁLCULO'!C28</f>
        <v>Cozinheiro</v>
      </c>
      <c r="C8" s="625"/>
      <c r="D8" s="626"/>
      <c r="E8" s="641"/>
      <c r="F8" s="642"/>
      <c r="G8" s="643"/>
      <c r="H8" s="644">
        <f>'BASE DE CÁLCULO'!F28</f>
        <v>4</v>
      </c>
      <c r="I8" s="645"/>
      <c r="J8" s="646"/>
      <c r="K8" s="641"/>
      <c r="L8" s="642"/>
      <c r="M8" s="643"/>
      <c r="N8" s="641"/>
      <c r="O8" s="642"/>
      <c r="P8" s="643"/>
    </row>
    <row r="9" spans="1:16" ht="15.6">
      <c r="A9" s="7">
        <v>7</v>
      </c>
      <c r="B9" s="624" t="str">
        <f>'BASE DE CÁLCULO'!C29</f>
        <v>ASG I</v>
      </c>
      <c r="C9" s="625"/>
      <c r="D9" s="626"/>
      <c r="E9" s="641"/>
      <c r="F9" s="642"/>
      <c r="G9" s="643"/>
      <c r="H9" s="644">
        <f>'BASE DE CÁLCULO'!F29</f>
        <v>5</v>
      </c>
      <c r="I9" s="645"/>
      <c r="J9" s="646"/>
      <c r="K9" s="641"/>
      <c r="L9" s="642"/>
      <c r="M9" s="643"/>
      <c r="N9" s="641"/>
      <c r="O9" s="642"/>
      <c r="P9" s="643"/>
    </row>
    <row r="10" spans="1:16" ht="16.5" customHeight="1">
      <c r="A10" s="7">
        <v>8</v>
      </c>
      <c r="B10" s="624" t="str">
        <f>'BASE DE CÁLCULO'!C30</f>
        <v>ASG II</v>
      </c>
      <c r="C10" s="625"/>
      <c r="D10" s="626"/>
      <c r="E10" s="641"/>
      <c r="F10" s="642"/>
      <c r="G10" s="643"/>
      <c r="H10" s="644">
        <f>'BASE DE CÁLCULO'!F30</f>
        <v>4</v>
      </c>
      <c r="I10" s="645"/>
      <c r="J10" s="646"/>
      <c r="K10" s="641"/>
      <c r="L10" s="642"/>
      <c r="M10" s="643"/>
      <c r="N10" s="641"/>
      <c r="O10" s="642"/>
      <c r="P10" s="643"/>
    </row>
    <row r="11" spans="1:16" ht="16.5" customHeight="1">
      <c r="A11" s="7">
        <v>9</v>
      </c>
      <c r="B11" s="624" t="str">
        <f>'BASE DE CÁLCULO'!C31</f>
        <v>Supervisor de Cozinha</v>
      </c>
      <c r="C11" s="625"/>
      <c r="D11" s="626"/>
      <c r="E11" s="641"/>
      <c r="F11" s="642"/>
      <c r="G11" s="643"/>
      <c r="H11" s="644">
        <f>'BASE DE CÁLCULO'!F31</f>
        <v>2</v>
      </c>
      <c r="I11" s="645"/>
      <c r="J11" s="646"/>
      <c r="K11" s="641"/>
      <c r="L11" s="642"/>
      <c r="M11" s="643"/>
      <c r="N11" s="641"/>
      <c r="O11" s="642"/>
      <c r="P11" s="643"/>
    </row>
    <row r="12" spans="1:16" ht="16.5" customHeight="1">
      <c r="A12" s="7">
        <v>10</v>
      </c>
      <c r="B12" s="624" t="str">
        <f>'BASE DE CÁLCULO'!C32</f>
        <v>Encarregado de Serv. Gerais</v>
      </c>
      <c r="C12" s="625"/>
      <c r="D12" s="626"/>
      <c r="E12" s="641"/>
      <c r="F12" s="642"/>
      <c r="G12" s="643"/>
      <c r="H12" s="644">
        <f>'BASE DE CÁLCULO'!F32</f>
        <v>1</v>
      </c>
      <c r="I12" s="645"/>
      <c r="J12" s="646"/>
      <c r="K12" s="641"/>
      <c r="L12" s="642"/>
      <c r="M12" s="643"/>
      <c r="N12" s="641"/>
      <c r="O12" s="642"/>
      <c r="P12" s="643"/>
    </row>
    <row r="13" spans="1:16" ht="16.5" customHeight="1">
      <c r="A13" s="7">
        <v>11</v>
      </c>
      <c r="B13" s="624" t="str">
        <f>'BASE DE CÁLCULO'!C33</f>
        <v>Encarregado de Manutenção</v>
      </c>
      <c r="C13" s="625"/>
      <c r="D13" s="626"/>
      <c r="E13" s="641"/>
      <c r="F13" s="642"/>
      <c r="G13" s="643"/>
      <c r="H13" s="644">
        <f>'BASE DE CÁLCULO'!F33</f>
        <v>1</v>
      </c>
      <c r="I13" s="645"/>
      <c r="J13" s="646"/>
      <c r="K13" s="641"/>
      <c r="L13" s="642"/>
      <c r="M13" s="643"/>
      <c r="N13" s="641"/>
      <c r="O13" s="642"/>
      <c r="P13" s="643"/>
    </row>
    <row r="14" spans="1:16" ht="16.5" customHeight="1">
      <c r="A14" s="7">
        <v>12</v>
      </c>
      <c r="B14" s="624" t="str">
        <f>'BASE DE CÁLCULO'!C34</f>
        <v>Auxiliar de Manutenção</v>
      </c>
      <c r="C14" s="625"/>
      <c r="D14" s="626"/>
      <c r="E14" s="641"/>
      <c r="F14" s="642"/>
      <c r="G14" s="643"/>
      <c r="H14" s="644">
        <f>'BASE DE CÁLCULO'!F34</f>
        <v>1</v>
      </c>
      <c r="I14" s="645"/>
      <c r="J14" s="646"/>
      <c r="K14" s="641"/>
      <c r="L14" s="642"/>
      <c r="M14" s="643"/>
      <c r="N14" s="641"/>
      <c r="O14" s="642"/>
      <c r="P14" s="643"/>
    </row>
    <row r="15" spans="1:16" ht="33" customHeight="1">
      <c r="A15" s="7">
        <v>13</v>
      </c>
      <c r="B15" s="624" t="str">
        <f>'BASE DE CÁLCULO'!C35</f>
        <v>Operador de Câmara Frigorífica</v>
      </c>
      <c r="C15" s="625"/>
      <c r="D15" s="626"/>
      <c r="E15" s="641"/>
      <c r="F15" s="642"/>
      <c r="G15" s="643"/>
      <c r="H15" s="644">
        <f>'BASE DE CÁLCULO'!F35</f>
        <v>2</v>
      </c>
      <c r="I15" s="645"/>
      <c r="J15" s="646"/>
      <c r="K15" s="641"/>
      <c r="L15" s="642"/>
      <c r="M15" s="643"/>
      <c r="N15" s="641"/>
      <c r="O15" s="642"/>
      <c r="P15" s="643"/>
    </row>
    <row r="16" spans="1:16" ht="16.5" customHeight="1">
      <c r="A16" s="633" t="s">
        <v>295</v>
      </c>
      <c r="B16" s="634"/>
      <c r="C16" s="634"/>
      <c r="D16" s="634"/>
      <c r="E16" s="634"/>
      <c r="F16" s="634"/>
      <c r="G16" s="635"/>
      <c r="H16" s="636">
        <f>SUM(H3:J15)</f>
        <v>73</v>
      </c>
      <c r="I16" s="619"/>
      <c r="J16" s="620"/>
      <c r="K16" s="612"/>
      <c r="L16" s="613"/>
      <c r="M16" s="614"/>
      <c r="N16" s="612"/>
      <c r="O16" s="613"/>
      <c r="P16" s="614"/>
    </row>
    <row r="17" spans="1:16" ht="15.6">
      <c r="A17" s="10"/>
      <c r="B17" s="10"/>
      <c r="C17" s="10"/>
      <c r="D17" s="10"/>
      <c r="E17" s="10"/>
      <c r="F17" s="10"/>
      <c r="G17" s="10"/>
      <c r="H17" s="10"/>
      <c r="I17" s="10"/>
      <c r="J17" s="10"/>
      <c r="K17" s="10"/>
      <c r="L17" s="10"/>
      <c r="M17" s="10"/>
      <c r="N17" s="29"/>
      <c r="O17" s="29"/>
      <c r="P17" s="29"/>
    </row>
    <row r="18" spans="1:16" ht="15.6">
      <c r="A18" s="627" t="s">
        <v>296</v>
      </c>
      <c r="B18" s="628"/>
      <c r="C18" s="628"/>
      <c r="D18" s="628"/>
      <c r="E18" s="628"/>
      <c r="F18" s="628"/>
      <c r="G18" s="628"/>
      <c r="H18" s="628"/>
      <c r="I18" s="628"/>
      <c r="J18" s="629"/>
      <c r="K18" s="637" t="s">
        <v>297</v>
      </c>
      <c r="L18" s="638"/>
      <c r="M18" s="639"/>
      <c r="N18" s="640" t="s">
        <v>298</v>
      </c>
      <c r="O18" s="638"/>
      <c r="P18" s="639"/>
    </row>
    <row r="19" spans="1:16" ht="16.5" customHeight="1">
      <c r="A19" s="630"/>
      <c r="B19" s="631"/>
      <c r="C19" s="631"/>
      <c r="D19" s="631"/>
      <c r="E19" s="631"/>
      <c r="F19" s="631"/>
      <c r="G19" s="631"/>
      <c r="H19" s="631"/>
      <c r="I19" s="631"/>
      <c r="J19" s="632"/>
      <c r="K19" s="609"/>
      <c r="L19" s="610"/>
      <c r="M19" s="611"/>
      <c r="N19" s="612"/>
      <c r="O19" s="613"/>
      <c r="P19" s="614"/>
    </row>
    <row r="20" spans="1:16" ht="16.5" customHeight="1">
      <c r="A20" s="10"/>
      <c r="B20" s="10"/>
      <c r="C20" s="10"/>
      <c r="D20" s="10"/>
      <c r="E20" s="10"/>
      <c r="F20" s="10"/>
      <c r="G20" s="10"/>
      <c r="H20" s="10"/>
      <c r="I20" s="10"/>
      <c r="J20" s="10"/>
      <c r="K20" s="10"/>
      <c r="L20" s="10"/>
      <c r="M20" s="10"/>
      <c r="N20" s="29"/>
      <c r="O20" s="29"/>
      <c r="P20" s="29"/>
    </row>
    <row r="21" spans="1:16" ht="33.75" customHeight="1">
      <c r="A21" s="10"/>
      <c r="B21" s="10"/>
      <c r="C21" s="10"/>
      <c r="D21" s="10"/>
      <c r="E21" s="10"/>
      <c r="F21" s="10"/>
      <c r="G21" s="10"/>
      <c r="H21" s="10"/>
      <c r="I21" s="10"/>
      <c r="J21" s="10"/>
      <c r="K21" s="10"/>
      <c r="L21" s="10"/>
      <c r="M21" s="10"/>
      <c r="N21" s="29"/>
      <c r="O21" s="29"/>
      <c r="P21" s="29"/>
    </row>
    <row r="22" spans="1:16" ht="15.6">
      <c r="A22" s="10"/>
      <c r="B22" s="10"/>
      <c r="C22" s="10"/>
      <c r="D22" s="615" t="s">
        <v>299</v>
      </c>
      <c r="E22" s="616"/>
      <c r="F22" s="616"/>
      <c r="G22" s="616"/>
      <c r="H22" s="616"/>
      <c r="I22" s="616"/>
      <c r="J22" s="616"/>
      <c r="K22" s="616"/>
      <c r="L22" s="616"/>
      <c r="M22" s="616"/>
      <c r="N22" s="617"/>
      <c r="O22" s="29"/>
      <c r="P22" s="29"/>
    </row>
    <row r="23" spans="1:16" ht="15.6">
      <c r="A23" s="10"/>
      <c r="B23" s="10"/>
      <c r="C23" s="10"/>
      <c r="D23" s="618" t="s">
        <v>300</v>
      </c>
      <c r="E23" s="619"/>
      <c r="F23" s="619"/>
      <c r="G23" s="619"/>
      <c r="H23" s="619"/>
      <c r="I23" s="619"/>
      <c r="J23" s="619"/>
      <c r="K23" s="619"/>
      <c r="L23" s="619"/>
      <c r="M23" s="619"/>
      <c r="N23" s="620"/>
      <c r="O23" s="29"/>
      <c r="P23" s="29"/>
    </row>
    <row r="24" spans="1:16" ht="16.5" customHeight="1">
      <c r="A24" s="10"/>
      <c r="B24" s="10"/>
      <c r="C24" s="10"/>
      <c r="D24" s="7" t="s">
        <v>25</v>
      </c>
      <c r="E24" s="621" t="s">
        <v>301</v>
      </c>
      <c r="F24" s="622"/>
      <c r="G24" s="622"/>
      <c r="H24" s="622"/>
      <c r="I24" s="622"/>
      <c r="J24" s="622"/>
      <c r="K24" s="622"/>
      <c r="L24" s="622"/>
      <c r="M24" s="623"/>
      <c r="N24" s="30"/>
      <c r="O24" s="29"/>
      <c r="P24" s="29"/>
    </row>
    <row r="25" spans="1:16" ht="33" customHeight="1">
      <c r="A25" s="10"/>
      <c r="B25" s="10"/>
      <c r="C25" s="10"/>
      <c r="D25" s="7" t="s">
        <v>27</v>
      </c>
      <c r="E25" s="624" t="s">
        <v>302</v>
      </c>
      <c r="F25" s="625"/>
      <c r="G25" s="625"/>
      <c r="H25" s="625"/>
      <c r="I25" s="625"/>
      <c r="J25" s="625"/>
      <c r="K25" s="625"/>
      <c r="L25" s="625"/>
      <c r="M25" s="626"/>
      <c r="N25" s="30"/>
      <c r="O25" s="29"/>
      <c r="P25" s="29"/>
    </row>
    <row r="26" spans="1:16" ht="16.5" customHeight="1">
      <c r="A26" s="27"/>
      <c r="B26" s="27"/>
      <c r="C26" s="27"/>
      <c r="D26" s="647"/>
      <c r="E26" s="647"/>
      <c r="F26" s="647"/>
      <c r="G26" s="647"/>
      <c r="H26" s="647"/>
      <c r="I26" s="647"/>
      <c r="J26" s="647"/>
      <c r="K26" s="647"/>
      <c r="L26" s="647"/>
      <c r="M26" s="647"/>
      <c r="N26" s="31"/>
      <c r="O26" s="31"/>
      <c r="P26" s="31"/>
    </row>
    <row r="27" spans="1:16" ht="16.5" customHeight="1">
      <c r="A27" s="10"/>
      <c r="B27" s="10"/>
      <c r="C27" s="10"/>
      <c r="D27" s="28"/>
      <c r="E27" s="28"/>
      <c r="F27" s="28"/>
      <c r="G27" s="28"/>
      <c r="H27" s="28"/>
      <c r="I27" s="28"/>
      <c r="J27" s="28"/>
      <c r="K27" s="28"/>
      <c r="L27" s="28"/>
      <c r="M27" s="28"/>
      <c r="N27" s="29"/>
      <c r="O27" s="29"/>
      <c r="P27" s="29"/>
    </row>
    <row r="28" spans="1:16" ht="16.5" customHeight="1">
      <c r="A28" s="618" t="s">
        <v>303</v>
      </c>
      <c r="B28" s="619"/>
      <c r="C28" s="619"/>
      <c r="D28" s="619"/>
      <c r="E28" s="619"/>
      <c r="F28" s="619"/>
      <c r="G28" s="619"/>
      <c r="H28" s="619"/>
      <c r="I28" s="619"/>
      <c r="J28" s="619"/>
      <c r="K28" s="619"/>
      <c r="L28" s="619"/>
      <c r="M28" s="619"/>
      <c r="N28" s="619"/>
      <c r="O28" s="619"/>
      <c r="P28" s="620"/>
    </row>
    <row r="29" spans="1:16" ht="31.5" customHeight="1">
      <c r="A29" s="618" t="s">
        <v>290</v>
      </c>
      <c r="B29" s="619"/>
      <c r="C29" s="619"/>
      <c r="D29" s="620"/>
      <c r="E29" s="618" t="s">
        <v>291</v>
      </c>
      <c r="F29" s="619"/>
      <c r="G29" s="620"/>
      <c r="H29" s="618" t="s">
        <v>292</v>
      </c>
      <c r="I29" s="619"/>
      <c r="J29" s="620"/>
      <c r="K29" s="618" t="s">
        <v>293</v>
      </c>
      <c r="L29" s="619"/>
      <c r="M29" s="620"/>
      <c r="N29" s="618" t="s">
        <v>294</v>
      </c>
      <c r="O29" s="619"/>
      <c r="P29" s="620"/>
    </row>
    <row r="30" spans="1:16" ht="16.5" customHeight="1">
      <c r="A30" s="7">
        <v>1</v>
      </c>
      <c r="B30" s="624" t="str">
        <f>'BASE DE CÁLCULO'!C37</f>
        <v>Armazenista</v>
      </c>
      <c r="C30" s="625"/>
      <c r="D30" s="626"/>
      <c r="E30" s="641"/>
      <c r="F30" s="642"/>
      <c r="G30" s="643"/>
      <c r="H30" s="644">
        <f>'BASE DE CÁLCULO'!F37</f>
        <v>1</v>
      </c>
      <c r="I30" s="645"/>
      <c r="J30" s="646"/>
      <c r="K30" s="641"/>
      <c r="L30" s="642"/>
      <c r="M30" s="643"/>
      <c r="N30" s="641"/>
      <c r="O30" s="642"/>
      <c r="P30" s="643"/>
    </row>
    <row r="31" spans="1:16" ht="16.5" customHeight="1">
      <c r="A31" s="7">
        <v>2</v>
      </c>
      <c r="B31" s="624" t="str">
        <f>'BASE DE CÁLCULO'!C38</f>
        <v>Atendente de Refeitório</v>
      </c>
      <c r="C31" s="625"/>
      <c r="D31" s="626"/>
      <c r="E31" s="641"/>
      <c r="F31" s="642"/>
      <c r="G31" s="643"/>
      <c r="H31" s="644">
        <f>'BASE DE CÁLCULO'!F38</f>
        <v>2</v>
      </c>
      <c r="I31" s="645"/>
      <c r="J31" s="646"/>
      <c r="K31" s="641"/>
      <c r="L31" s="642"/>
      <c r="M31" s="643"/>
      <c r="N31" s="641"/>
      <c r="O31" s="642"/>
      <c r="P31" s="643"/>
    </row>
    <row r="32" spans="1:16" ht="15.6">
      <c r="A32" s="7">
        <v>3</v>
      </c>
      <c r="B32" s="624" t="str">
        <f>'BASE DE CÁLCULO'!C39</f>
        <v>Auxliar de Cozinha I</v>
      </c>
      <c r="C32" s="625"/>
      <c r="D32" s="626"/>
      <c r="E32" s="641"/>
      <c r="F32" s="642"/>
      <c r="G32" s="643"/>
      <c r="H32" s="644">
        <f>'BASE DE CÁLCULO'!F39</f>
        <v>12</v>
      </c>
      <c r="I32" s="645"/>
      <c r="J32" s="646"/>
      <c r="K32" s="641"/>
      <c r="L32" s="642"/>
      <c r="M32" s="643"/>
      <c r="N32" s="641"/>
      <c r="O32" s="642"/>
      <c r="P32" s="643"/>
    </row>
    <row r="33" spans="1:16" ht="15.6">
      <c r="A33" s="7">
        <v>4</v>
      </c>
      <c r="B33" s="624" t="str">
        <f>'BASE DE CÁLCULO'!C40</f>
        <v>Auxliar de Cozinha II</v>
      </c>
      <c r="C33" s="625"/>
      <c r="D33" s="626"/>
      <c r="E33" s="641"/>
      <c r="F33" s="642"/>
      <c r="G33" s="643"/>
      <c r="H33" s="644">
        <f>'BASE DE CÁLCULO'!F40</f>
        <v>4</v>
      </c>
      <c r="I33" s="645"/>
      <c r="J33" s="646"/>
      <c r="K33" s="641"/>
      <c r="L33" s="642"/>
      <c r="M33" s="643"/>
      <c r="N33" s="641"/>
      <c r="O33" s="642"/>
      <c r="P33" s="643"/>
    </row>
    <row r="34" spans="1:16" ht="16.5" customHeight="1">
      <c r="A34" s="7">
        <v>5</v>
      </c>
      <c r="B34" s="624" t="str">
        <f>'BASE DE CÁLCULO'!C41</f>
        <v>Auxiliar de Cozinha III</v>
      </c>
      <c r="C34" s="625"/>
      <c r="D34" s="626"/>
      <c r="E34" s="641"/>
      <c r="F34" s="642"/>
      <c r="G34" s="643"/>
      <c r="H34" s="644">
        <f>'BASE DE CÁLCULO'!F41</f>
        <v>1</v>
      </c>
      <c r="I34" s="645"/>
      <c r="J34" s="646"/>
      <c r="K34" s="641"/>
      <c r="L34" s="642"/>
      <c r="M34" s="643"/>
      <c r="N34" s="641"/>
      <c r="O34" s="642"/>
      <c r="P34" s="643"/>
    </row>
    <row r="35" spans="1:16" ht="16.5" customHeight="1">
      <c r="A35" s="7">
        <v>6</v>
      </c>
      <c r="B35" s="624" t="str">
        <f>'BASE DE CÁLCULO'!C42</f>
        <v>Cozinheiro</v>
      </c>
      <c r="C35" s="625"/>
      <c r="D35" s="626"/>
      <c r="E35" s="641"/>
      <c r="F35" s="642"/>
      <c r="G35" s="643"/>
      <c r="H35" s="644">
        <f>'BASE DE CÁLCULO'!F42</f>
        <v>4</v>
      </c>
      <c r="I35" s="645"/>
      <c r="J35" s="646"/>
      <c r="K35" s="641"/>
      <c r="L35" s="642"/>
      <c r="M35" s="643"/>
      <c r="N35" s="641"/>
      <c r="O35" s="642"/>
      <c r="P35" s="643"/>
    </row>
    <row r="36" spans="1:16" ht="16.5" customHeight="1">
      <c r="A36" s="7">
        <v>7</v>
      </c>
      <c r="B36" s="624" t="str">
        <f>'BASE DE CÁLCULO'!C43</f>
        <v>ASG I</v>
      </c>
      <c r="C36" s="625"/>
      <c r="D36" s="626"/>
      <c r="E36" s="641"/>
      <c r="F36" s="642"/>
      <c r="G36" s="643"/>
      <c r="H36" s="644">
        <f>'BASE DE CÁLCULO'!F43</f>
        <v>2</v>
      </c>
      <c r="I36" s="645"/>
      <c r="J36" s="646"/>
      <c r="K36" s="641"/>
      <c r="L36" s="642"/>
      <c r="M36" s="643"/>
      <c r="N36" s="641"/>
      <c r="O36" s="642"/>
      <c r="P36" s="643"/>
    </row>
    <row r="37" spans="1:16" ht="15.6">
      <c r="A37" s="7">
        <v>8</v>
      </c>
      <c r="B37" s="624" t="str">
        <f>'BASE DE CÁLCULO'!C44</f>
        <v>ASG II</v>
      </c>
      <c r="C37" s="625"/>
      <c r="D37" s="626"/>
      <c r="E37" s="641"/>
      <c r="F37" s="642"/>
      <c r="G37" s="643"/>
      <c r="H37" s="644">
        <f>'BASE DE CÁLCULO'!F44</f>
        <v>3</v>
      </c>
      <c r="I37" s="645"/>
      <c r="J37" s="646"/>
      <c r="K37" s="641"/>
      <c r="L37" s="642"/>
      <c r="M37" s="643"/>
      <c r="N37" s="641"/>
      <c r="O37" s="642"/>
      <c r="P37" s="643"/>
    </row>
    <row r="38" spans="1:16" ht="15.6">
      <c r="A38" s="7">
        <v>9</v>
      </c>
      <c r="B38" s="624" t="str">
        <f>'BASE DE CÁLCULO'!C45</f>
        <v>Supervisor de Cozinha</v>
      </c>
      <c r="C38" s="625"/>
      <c r="D38" s="626"/>
      <c r="E38" s="641"/>
      <c r="F38" s="642"/>
      <c r="G38" s="643"/>
      <c r="H38" s="644">
        <f>'BASE DE CÁLCULO'!F45</f>
        <v>2</v>
      </c>
      <c r="I38" s="645"/>
      <c r="J38" s="646"/>
      <c r="K38" s="641"/>
      <c r="L38" s="642"/>
      <c r="M38" s="643"/>
      <c r="N38" s="641"/>
      <c r="O38" s="642"/>
      <c r="P38" s="643"/>
    </row>
    <row r="39" spans="1:16" ht="16.5" customHeight="1">
      <c r="A39" s="7">
        <v>10</v>
      </c>
      <c r="B39" s="624" t="str">
        <f>'BASE DE CÁLCULO'!C46</f>
        <v>Oficial de Manutenção</v>
      </c>
      <c r="C39" s="625"/>
      <c r="D39" s="626"/>
      <c r="E39" s="641"/>
      <c r="F39" s="642"/>
      <c r="G39" s="643"/>
      <c r="H39" s="644">
        <f>'BASE DE CÁLCULO'!F46</f>
        <v>1</v>
      </c>
      <c r="I39" s="645"/>
      <c r="J39" s="646"/>
      <c r="K39" s="641"/>
      <c r="L39" s="642"/>
      <c r="M39" s="643"/>
      <c r="N39" s="641"/>
      <c r="O39" s="642"/>
      <c r="P39" s="643"/>
    </row>
    <row r="40" spans="1:16" ht="16.5" customHeight="1">
      <c r="A40" s="633" t="s">
        <v>295</v>
      </c>
      <c r="B40" s="634"/>
      <c r="C40" s="634"/>
      <c r="D40" s="634"/>
      <c r="E40" s="634"/>
      <c r="F40" s="634"/>
      <c r="G40" s="635"/>
      <c r="H40" s="636">
        <f>SUM(H22:J39)</f>
        <v>32</v>
      </c>
      <c r="I40" s="619"/>
      <c r="J40" s="620"/>
      <c r="K40" s="612"/>
      <c r="L40" s="613"/>
      <c r="M40" s="614"/>
      <c r="N40" s="612"/>
      <c r="O40" s="613"/>
      <c r="P40" s="614"/>
    </row>
    <row r="41" spans="1:16" ht="37.5" customHeight="1">
      <c r="A41" s="10"/>
      <c r="B41" s="10"/>
      <c r="C41" s="10"/>
      <c r="D41" s="10"/>
      <c r="E41" s="10"/>
      <c r="F41" s="10"/>
      <c r="G41" s="10"/>
      <c r="H41" s="10"/>
      <c r="I41" s="10"/>
      <c r="J41" s="10"/>
      <c r="K41" s="10"/>
      <c r="L41" s="10"/>
      <c r="M41" s="10"/>
      <c r="N41" s="29"/>
      <c r="O41" s="29"/>
      <c r="P41" s="29"/>
    </row>
    <row r="42" spans="1:16" ht="15.6">
      <c r="A42" s="627" t="s">
        <v>304</v>
      </c>
      <c r="B42" s="628"/>
      <c r="C42" s="628"/>
      <c r="D42" s="628"/>
      <c r="E42" s="628"/>
      <c r="F42" s="628"/>
      <c r="G42" s="628"/>
      <c r="H42" s="628"/>
      <c r="I42" s="628"/>
      <c r="J42" s="629"/>
      <c r="K42" s="637" t="s">
        <v>297</v>
      </c>
      <c r="L42" s="638"/>
      <c r="M42" s="639"/>
      <c r="N42" s="640" t="s">
        <v>298</v>
      </c>
      <c r="O42" s="638"/>
      <c r="P42" s="639"/>
    </row>
    <row r="43" spans="1:16" ht="15.6">
      <c r="A43" s="630"/>
      <c r="B43" s="631"/>
      <c r="C43" s="631"/>
      <c r="D43" s="631"/>
      <c r="E43" s="631"/>
      <c r="F43" s="631"/>
      <c r="G43" s="631"/>
      <c r="H43" s="631"/>
      <c r="I43" s="631"/>
      <c r="J43" s="632"/>
      <c r="K43" s="609"/>
      <c r="L43" s="610"/>
      <c r="M43" s="611"/>
      <c r="N43" s="612"/>
      <c r="O43" s="613"/>
      <c r="P43" s="614"/>
    </row>
    <row r="44" spans="1:16" ht="16.5" customHeight="1">
      <c r="A44" s="10"/>
      <c r="B44" s="10"/>
      <c r="C44" s="10"/>
      <c r="D44" s="10"/>
      <c r="E44" s="10"/>
      <c r="F44" s="10"/>
      <c r="G44" s="10"/>
      <c r="H44" s="10"/>
      <c r="I44" s="10"/>
      <c r="J44" s="10"/>
      <c r="K44" s="10"/>
      <c r="L44" s="10"/>
      <c r="M44" s="10"/>
      <c r="N44" s="29"/>
      <c r="O44" s="29"/>
      <c r="P44" s="29"/>
    </row>
    <row r="45" spans="1:16" ht="33" customHeight="1">
      <c r="A45" s="10"/>
      <c r="B45" s="10"/>
      <c r="C45" s="10"/>
      <c r="D45" s="10"/>
      <c r="E45" s="10"/>
      <c r="F45" s="10"/>
      <c r="G45" s="10"/>
      <c r="H45" s="10"/>
      <c r="I45" s="10"/>
      <c r="J45" s="10"/>
      <c r="K45" s="10"/>
      <c r="L45" s="10"/>
      <c r="M45" s="10"/>
      <c r="N45" s="29"/>
      <c r="O45" s="29"/>
      <c r="P45" s="29"/>
    </row>
    <row r="46" spans="1:16" ht="16.5" customHeight="1">
      <c r="A46" s="10"/>
      <c r="B46" s="10"/>
      <c r="C46" s="10"/>
      <c r="D46" s="615" t="s">
        <v>305</v>
      </c>
      <c r="E46" s="616"/>
      <c r="F46" s="616"/>
      <c r="G46" s="616"/>
      <c r="H46" s="616"/>
      <c r="I46" s="616"/>
      <c r="J46" s="616"/>
      <c r="K46" s="616"/>
      <c r="L46" s="616"/>
      <c r="M46" s="616"/>
      <c r="N46" s="617"/>
      <c r="O46" s="29"/>
      <c r="P46" s="29"/>
    </row>
    <row r="47" spans="1:16" ht="16.5" customHeight="1">
      <c r="A47" s="10"/>
      <c r="B47" s="10"/>
      <c r="C47" s="10"/>
      <c r="D47" s="618" t="s">
        <v>300</v>
      </c>
      <c r="E47" s="619"/>
      <c r="F47" s="619"/>
      <c r="G47" s="619"/>
      <c r="H47" s="619"/>
      <c r="I47" s="619"/>
      <c r="J47" s="619"/>
      <c r="K47" s="619"/>
      <c r="L47" s="619"/>
      <c r="M47" s="619"/>
      <c r="N47" s="620"/>
      <c r="O47" s="29"/>
      <c r="P47" s="29"/>
    </row>
    <row r="48" spans="1:16" ht="16.5" customHeight="1">
      <c r="A48" s="10"/>
      <c r="B48" s="10"/>
      <c r="C48" s="10"/>
      <c r="D48" s="7" t="s">
        <v>25</v>
      </c>
      <c r="E48" s="621" t="s">
        <v>301</v>
      </c>
      <c r="F48" s="622"/>
      <c r="G48" s="622"/>
      <c r="H48" s="622"/>
      <c r="I48" s="622"/>
      <c r="J48" s="622"/>
      <c r="K48" s="622"/>
      <c r="L48" s="622"/>
      <c r="M48" s="623"/>
      <c r="N48" s="30"/>
      <c r="O48" s="29"/>
      <c r="P48" s="29"/>
    </row>
    <row r="49" spans="1:16" ht="35.25" customHeight="1">
      <c r="A49" s="10"/>
      <c r="B49" s="10"/>
      <c r="C49" s="10"/>
      <c r="D49" s="7" t="s">
        <v>27</v>
      </c>
      <c r="E49" s="624" t="s">
        <v>302</v>
      </c>
      <c r="F49" s="625"/>
      <c r="G49" s="625"/>
      <c r="H49" s="625"/>
      <c r="I49" s="625"/>
      <c r="J49" s="625"/>
      <c r="K49" s="625"/>
      <c r="L49" s="625"/>
      <c r="M49" s="626"/>
      <c r="N49" s="30"/>
      <c r="O49" s="29"/>
      <c r="P49" s="29"/>
    </row>
    <row r="50" spans="1:16" ht="16.5" customHeight="1">
      <c r="A50" s="27"/>
      <c r="B50" s="27"/>
      <c r="C50" s="27"/>
      <c r="D50" s="647"/>
      <c r="E50" s="647"/>
      <c r="F50" s="647"/>
      <c r="G50" s="647"/>
      <c r="H50" s="647"/>
      <c r="I50" s="647"/>
      <c r="J50" s="647"/>
      <c r="K50" s="647"/>
      <c r="L50" s="647"/>
      <c r="M50" s="647"/>
      <c r="N50" s="31"/>
      <c r="O50" s="31"/>
      <c r="P50" s="31"/>
    </row>
    <row r="51" spans="1:16" ht="16.5" customHeight="1">
      <c r="A51" s="10"/>
      <c r="B51" s="10"/>
      <c r="C51" s="10"/>
      <c r="D51" s="28"/>
      <c r="E51" s="28"/>
      <c r="F51" s="28"/>
      <c r="G51" s="28"/>
      <c r="H51" s="28"/>
      <c r="I51" s="28"/>
      <c r="J51" s="28"/>
      <c r="K51" s="28"/>
      <c r="L51" s="28"/>
      <c r="M51" s="28"/>
      <c r="N51" s="29"/>
      <c r="O51" s="29"/>
      <c r="P51" s="29"/>
    </row>
    <row r="52" spans="1:16" ht="15.6">
      <c r="A52" s="10"/>
      <c r="B52" s="10"/>
      <c r="C52" s="10"/>
      <c r="D52" s="28"/>
      <c r="E52" s="28"/>
      <c r="F52" s="28"/>
      <c r="G52" s="28"/>
      <c r="H52" s="28"/>
      <c r="I52" s="28"/>
      <c r="J52" s="28"/>
      <c r="K52" s="28"/>
      <c r="L52" s="28"/>
      <c r="M52" s="28"/>
      <c r="N52" s="29"/>
      <c r="O52" s="29"/>
      <c r="P52" s="29"/>
    </row>
    <row r="53" spans="1:16" ht="15.6">
      <c r="A53" s="618" t="s">
        <v>306</v>
      </c>
      <c r="B53" s="619"/>
      <c r="C53" s="619"/>
      <c r="D53" s="619"/>
      <c r="E53" s="619"/>
      <c r="F53" s="619"/>
      <c r="G53" s="619"/>
      <c r="H53" s="619"/>
      <c r="I53" s="619"/>
      <c r="J53" s="619"/>
      <c r="K53" s="619"/>
      <c r="L53" s="619"/>
      <c r="M53" s="619"/>
      <c r="N53" s="619"/>
      <c r="O53" s="619"/>
      <c r="P53" s="620"/>
    </row>
    <row r="54" spans="1:16" ht="31.5" customHeight="1">
      <c r="A54" s="618" t="s">
        <v>290</v>
      </c>
      <c r="B54" s="619"/>
      <c r="C54" s="619"/>
      <c r="D54" s="620"/>
      <c r="E54" s="618" t="s">
        <v>291</v>
      </c>
      <c r="F54" s="619"/>
      <c r="G54" s="620"/>
      <c r="H54" s="618" t="s">
        <v>292</v>
      </c>
      <c r="I54" s="619"/>
      <c r="J54" s="620"/>
      <c r="K54" s="618" t="s">
        <v>293</v>
      </c>
      <c r="L54" s="619"/>
      <c r="M54" s="620"/>
      <c r="N54" s="618" t="s">
        <v>294</v>
      </c>
      <c r="O54" s="619"/>
      <c r="P54" s="620"/>
    </row>
    <row r="55" spans="1:16" ht="16.5" customHeight="1">
      <c r="A55" s="7">
        <v>1</v>
      </c>
      <c r="B55" s="624" t="str">
        <f>'BASE DE CÁLCULO'!C48</f>
        <v>Armazenista</v>
      </c>
      <c r="C55" s="625"/>
      <c r="D55" s="626"/>
      <c r="E55" s="641"/>
      <c r="F55" s="642"/>
      <c r="G55" s="643"/>
      <c r="H55" s="644">
        <f>'BASE DE CÁLCULO'!F48</f>
        <v>1</v>
      </c>
      <c r="I55" s="645"/>
      <c r="J55" s="646"/>
      <c r="K55" s="641"/>
      <c r="L55" s="642"/>
      <c r="M55" s="643"/>
      <c r="N55" s="641"/>
      <c r="O55" s="642"/>
      <c r="P55" s="643"/>
    </row>
    <row r="56" spans="1:16" ht="16.5" customHeight="1">
      <c r="A56" s="7">
        <v>2</v>
      </c>
      <c r="B56" s="624" t="str">
        <f>'BASE DE CÁLCULO'!C49</f>
        <v>Atendente de Refeitório</v>
      </c>
      <c r="C56" s="625"/>
      <c r="D56" s="626"/>
      <c r="E56" s="641"/>
      <c r="F56" s="642"/>
      <c r="G56" s="643"/>
      <c r="H56" s="644">
        <f>'BASE DE CÁLCULO'!F49</f>
        <v>2</v>
      </c>
      <c r="I56" s="645"/>
      <c r="J56" s="646"/>
      <c r="K56" s="641"/>
      <c r="L56" s="642"/>
      <c r="M56" s="643"/>
      <c r="N56" s="641"/>
      <c r="O56" s="642"/>
      <c r="P56" s="643"/>
    </row>
    <row r="57" spans="1:16" ht="15.6">
      <c r="A57" s="7">
        <v>3</v>
      </c>
      <c r="B57" s="624" t="str">
        <f>'BASE DE CÁLCULO'!C50</f>
        <v>Auxliar de Cozinha I</v>
      </c>
      <c r="C57" s="625"/>
      <c r="D57" s="626"/>
      <c r="E57" s="641"/>
      <c r="F57" s="642"/>
      <c r="G57" s="643"/>
      <c r="H57" s="644">
        <f>'BASE DE CÁLCULO'!F50</f>
        <v>9</v>
      </c>
      <c r="I57" s="645"/>
      <c r="J57" s="646"/>
      <c r="K57" s="641"/>
      <c r="L57" s="642"/>
      <c r="M57" s="643"/>
      <c r="N57" s="641"/>
      <c r="O57" s="642"/>
      <c r="P57" s="643"/>
    </row>
    <row r="58" spans="1:16" ht="15.6">
      <c r="A58" s="7">
        <v>4</v>
      </c>
      <c r="B58" s="624" t="str">
        <f>'BASE DE CÁLCULO'!C51</f>
        <v>Auxliar de Cozinha II</v>
      </c>
      <c r="C58" s="625"/>
      <c r="D58" s="626"/>
      <c r="E58" s="641"/>
      <c r="F58" s="642"/>
      <c r="G58" s="643"/>
      <c r="H58" s="644">
        <f>'BASE DE CÁLCULO'!F51</f>
        <v>2</v>
      </c>
      <c r="I58" s="645"/>
      <c r="J58" s="646"/>
      <c r="K58" s="641"/>
      <c r="L58" s="642"/>
      <c r="M58" s="643"/>
      <c r="N58" s="641"/>
      <c r="O58" s="642"/>
      <c r="P58" s="643"/>
    </row>
    <row r="59" spans="1:16" ht="16.5" customHeight="1">
      <c r="A59" s="7">
        <v>5</v>
      </c>
      <c r="B59" s="624" t="str">
        <f>'BASE DE CÁLCULO'!C52</f>
        <v>Auxiliar de Cozinha III</v>
      </c>
      <c r="C59" s="625"/>
      <c r="D59" s="626"/>
      <c r="E59" s="641"/>
      <c r="F59" s="642"/>
      <c r="G59" s="643"/>
      <c r="H59" s="644">
        <f>'BASE DE CÁLCULO'!F52</f>
        <v>1</v>
      </c>
      <c r="I59" s="645"/>
      <c r="J59" s="646"/>
      <c r="K59" s="641"/>
      <c r="L59" s="642"/>
      <c r="M59" s="643"/>
      <c r="N59" s="641"/>
      <c r="O59" s="642"/>
      <c r="P59" s="643"/>
    </row>
    <row r="60" spans="1:16" ht="16.5" customHeight="1">
      <c r="A60" s="7">
        <v>6</v>
      </c>
      <c r="B60" s="624" t="str">
        <f>'BASE DE CÁLCULO'!C53</f>
        <v>Cozinheiro</v>
      </c>
      <c r="C60" s="625"/>
      <c r="D60" s="626"/>
      <c r="E60" s="641"/>
      <c r="F60" s="642"/>
      <c r="G60" s="643"/>
      <c r="H60" s="644">
        <f>'BASE DE CÁLCULO'!F53</f>
        <v>2</v>
      </c>
      <c r="I60" s="645"/>
      <c r="J60" s="646"/>
      <c r="K60" s="641"/>
      <c r="L60" s="642"/>
      <c r="M60" s="643"/>
      <c r="N60" s="641"/>
      <c r="O60" s="642"/>
      <c r="P60" s="643"/>
    </row>
    <row r="61" spans="1:16" ht="34.5" customHeight="1">
      <c r="A61" s="7">
        <v>7</v>
      </c>
      <c r="B61" s="624" t="str">
        <f>'BASE DE CÁLCULO'!C54</f>
        <v>ASG I</v>
      </c>
      <c r="C61" s="625"/>
      <c r="D61" s="626"/>
      <c r="E61" s="641"/>
      <c r="F61" s="642"/>
      <c r="G61" s="643"/>
      <c r="H61" s="644">
        <f>'BASE DE CÁLCULO'!F54</f>
        <v>2</v>
      </c>
      <c r="I61" s="645"/>
      <c r="J61" s="646"/>
      <c r="K61" s="641"/>
      <c r="L61" s="642"/>
      <c r="M61" s="643"/>
      <c r="N61" s="641"/>
      <c r="O61" s="642"/>
      <c r="P61" s="643"/>
    </row>
    <row r="62" spans="1:16" ht="15.6">
      <c r="A62" s="7">
        <v>8</v>
      </c>
      <c r="B62" s="624" t="str">
        <f>'BASE DE CÁLCULO'!C55</f>
        <v>ASG II</v>
      </c>
      <c r="C62" s="625"/>
      <c r="D62" s="626"/>
      <c r="E62" s="641"/>
      <c r="F62" s="642"/>
      <c r="G62" s="643"/>
      <c r="H62" s="644">
        <f>'BASE DE CÁLCULO'!F55</f>
        <v>1</v>
      </c>
      <c r="I62" s="645"/>
      <c r="J62" s="646"/>
      <c r="K62" s="641"/>
      <c r="L62" s="642"/>
      <c r="M62" s="643"/>
      <c r="N62" s="641"/>
      <c r="O62" s="642"/>
      <c r="P62" s="643"/>
    </row>
    <row r="63" spans="1:16" ht="15.6">
      <c r="A63" s="7">
        <v>9</v>
      </c>
      <c r="B63" s="624" t="str">
        <f>'BASE DE CÁLCULO'!C56</f>
        <v>Supervisor de Cozinha</v>
      </c>
      <c r="C63" s="625"/>
      <c r="D63" s="626"/>
      <c r="E63" s="641"/>
      <c r="F63" s="642"/>
      <c r="G63" s="643"/>
      <c r="H63" s="644">
        <f>'BASE DE CÁLCULO'!F56</f>
        <v>2</v>
      </c>
      <c r="I63" s="645"/>
      <c r="J63" s="646"/>
      <c r="K63" s="641"/>
      <c r="L63" s="642"/>
      <c r="M63" s="643"/>
      <c r="N63" s="641"/>
      <c r="O63" s="642"/>
      <c r="P63" s="643"/>
    </row>
    <row r="64" spans="1:16" ht="15.6">
      <c r="A64" s="7">
        <v>10</v>
      </c>
      <c r="B64" s="624" t="str">
        <f>'BASE DE CÁLCULO'!C57</f>
        <v>Oficial de Manutenção</v>
      </c>
      <c r="C64" s="625"/>
      <c r="D64" s="626"/>
      <c r="E64" s="641"/>
      <c r="F64" s="642"/>
      <c r="G64" s="643"/>
      <c r="H64" s="644">
        <f>'BASE DE CÁLCULO'!F57</f>
        <v>1</v>
      </c>
      <c r="I64" s="645"/>
      <c r="J64" s="646"/>
      <c r="K64" s="641"/>
      <c r="L64" s="642"/>
      <c r="M64" s="643"/>
      <c r="N64" s="641"/>
      <c r="O64" s="642"/>
      <c r="P64" s="643"/>
    </row>
    <row r="65" spans="1:16" ht="15.6">
      <c r="A65" s="633" t="s">
        <v>295</v>
      </c>
      <c r="B65" s="634"/>
      <c r="C65" s="634"/>
      <c r="D65" s="634"/>
      <c r="E65" s="634"/>
      <c r="F65" s="634"/>
      <c r="G65" s="635"/>
      <c r="H65" s="636">
        <f>SUM(H41:J64)</f>
        <v>23</v>
      </c>
      <c r="I65" s="619"/>
      <c r="J65" s="620"/>
      <c r="K65" s="612"/>
      <c r="L65" s="613"/>
      <c r="M65" s="614"/>
      <c r="N65" s="612"/>
      <c r="O65" s="613"/>
      <c r="P65" s="614"/>
    </row>
    <row r="66" spans="1:16" ht="15.6">
      <c r="A66" s="10"/>
      <c r="B66" s="10"/>
      <c r="C66" s="10"/>
      <c r="D66" s="10"/>
      <c r="E66" s="10"/>
      <c r="F66" s="10"/>
      <c r="G66" s="10"/>
      <c r="H66" s="10"/>
      <c r="I66" s="10"/>
      <c r="J66" s="10"/>
      <c r="K66" s="10"/>
      <c r="L66" s="10"/>
      <c r="M66" s="10"/>
      <c r="N66" s="29"/>
      <c r="O66" s="29"/>
      <c r="P66" s="29"/>
    </row>
    <row r="67" spans="1:16" ht="15.6">
      <c r="A67" s="627" t="s">
        <v>307</v>
      </c>
      <c r="B67" s="628"/>
      <c r="C67" s="628"/>
      <c r="D67" s="628"/>
      <c r="E67" s="628"/>
      <c r="F67" s="628"/>
      <c r="G67" s="628"/>
      <c r="H67" s="628"/>
      <c r="I67" s="628"/>
      <c r="J67" s="629"/>
      <c r="K67" s="637" t="s">
        <v>297</v>
      </c>
      <c r="L67" s="638"/>
      <c r="M67" s="639"/>
      <c r="N67" s="640" t="s">
        <v>298</v>
      </c>
      <c r="O67" s="638"/>
      <c r="P67" s="639"/>
    </row>
    <row r="68" spans="1:16" ht="15.6">
      <c r="A68" s="630"/>
      <c r="B68" s="631"/>
      <c r="C68" s="631"/>
      <c r="D68" s="631"/>
      <c r="E68" s="631"/>
      <c r="F68" s="631"/>
      <c r="G68" s="631"/>
      <c r="H68" s="631"/>
      <c r="I68" s="631"/>
      <c r="J68" s="632"/>
      <c r="K68" s="609"/>
      <c r="L68" s="610"/>
      <c r="M68" s="611"/>
      <c r="N68" s="612"/>
      <c r="O68" s="613"/>
      <c r="P68" s="614"/>
    </row>
    <row r="69" spans="1:16" ht="15.6">
      <c r="A69" s="10"/>
      <c r="B69" s="10"/>
      <c r="C69" s="10"/>
      <c r="D69" s="10"/>
      <c r="E69" s="10"/>
      <c r="F69" s="10"/>
      <c r="G69" s="10"/>
      <c r="H69" s="10"/>
      <c r="I69" s="10"/>
      <c r="J69" s="10"/>
      <c r="K69" s="10"/>
      <c r="L69" s="10"/>
      <c r="M69" s="10"/>
      <c r="N69" s="29"/>
      <c r="O69" s="29"/>
      <c r="P69" s="29"/>
    </row>
    <row r="70" spans="1:16" ht="15.6">
      <c r="A70" s="10"/>
      <c r="B70" s="10"/>
      <c r="C70" s="10"/>
      <c r="D70" s="10"/>
      <c r="E70" s="10"/>
      <c r="F70" s="10"/>
      <c r="G70" s="10"/>
      <c r="H70" s="10"/>
      <c r="I70" s="10"/>
      <c r="J70" s="10"/>
      <c r="K70" s="10"/>
      <c r="L70" s="10"/>
      <c r="M70" s="10"/>
      <c r="N70" s="29"/>
      <c r="O70" s="29"/>
      <c r="P70" s="29"/>
    </row>
    <row r="71" spans="1:16" ht="15.6">
      <c r="A71" s="10"/>
      <c r="B71" s="10"/>
      <c r="C71" s="10"/>
      <c r="D71" s="615" t="s">
        <v>308</v>
      </c>
      <c r="E71" s="616"/>
      <c r="F71" s="616"/>
      <c r="G71" s="616"/>
      <c r="H71" s="616"/>
      <c r="I71" s="616"/>
      <c r="J71" s="616"/>
      <c r="K71" s="616"/>
      <c r="L71" s="616"/>
      <c r="M71" s="616"/>
      <c r="N71" s="617"/>
      <c r="O71" s="29"/>
      <c r="P71" s="29"/>
    </row>
    <row r="72" spans="1:16" ht="15.6">
      <c r="A72" s="10"/>
      <c r="B72" s="10"/>
      <c r="C72" s="10"/>
      <c r="D72" s="618" t="s">
        <v>300</v>
      </c>
      <c r="E72" s="619"/>
      <c r="F72" s="619"/>
      <c r="G72" s="619"/>
      <c r="H72" s="619"/>
      <c r="I72" s="619"/>
      <c r="J72" s="619"/>
      <c r="K72" s="619"/>
      <c r="L72" s="619"/>
      <c r="M72" s="619"/>
      <c r="N72" s="620"/>
      <c r="O72" s="29"/>
      <c r="P72" s="29"/>
    </row>
    <row r="73" spans="1:16" ht="15.6">
      <c r="A73" s="10"/>
      <c r="B73" s="10"/>
      <c r="C73" s="10"/>
      <c r="D73" s="7" t="s">
        <v>25</v>
      </c>
      <c r="E73" s="621" t="s">
        <v>301</v>
      </c>
      <c r="F73" s="622"/>
      <c r="G73" s="622"/>
      <c r="H73" s="622"/>
      <c r="I73" s="622"/>
      <c r="J73" s="622"/>
      <c r="K73" s="622"/>
      <c r="L73" s="622"/>
      <c r="M73" s="623"/>
      <c r="N73" s="30"/>
      <c r="O73" s="29"/>
      <c r="P73" s="29"/>
    </row>
    <row r="74" spans="1:16" ht="34.5" customHeight="1">
      <c r="A74" s="10"/>
      <c r="B74" s="10"/>
      <c r="C74" s="10"/>
      <c r="D74" s="7" t="s">
        <v>27</v>
      </c>
      <c r="E74" s="624" t="s">
        <v>302</v>
      </c>
      <c r="F74" s="625"/>
      <c r="G74" s="625"/>
      <c r="H74" s="625"/>
      <c r="I74" s="625"/>
      <c r="J74" s="625"/>
      <c r="K74" s="625"/>
      <c r="L74" s="625"/>
      <c r="M74" s="626"/>
      <c r="N74" s="30"/>
      <c r="O74" s="29"/>
      <c r="P74" s="29"/>
    </row>
  </sheetData>
  <mergeCells count="224">
    <mergeCell ref="A1:P1"/>
    <mergeCell ref="A2:D2"/>
    <mergeCell ref="E2:G2"/>
    <mergeCell ref="H2:J2"/>
    <mergeCell ref="K2:M2"/>
    <mergeCell ref="N2:P2"/>
    <mergeCell ref="B3:D3"/>
    <mergeCell ref="E3:G3"/>
    <mergeCell ref="H3:J3"/>
    <mergeCell ref="K3:M3"/>
    <mergeCell ref="N3:P3"/>
    <mergeCell ref="B4:D4"/>
    <mergeCell ref="E4:G4"/>
    <mergeCell ref="H4:J4"/>
    <mergeCell ref="K4:M4"/>
    <mergeCell ref="N4:P4"/>
    <mergeCell ref="B5:D5"/>
    <mergeCell ref="E5:G5"/>
    <mergeCell ref="H5:J5"/>
    <mergeCell ref="K5:M5"/>
    <mergeCell ref="N5:P5"/>
    <mergeCell ref="B6:D6"/>
    <mergeCell ref="E6:G6"/>
    <mergeCell ref="H6:J6"/>
    <mergeCell ref="K6:M6"/>
    <mergeCell ref="N6:P6"/>
    <mergeCell ref="B7:D7"/>
    <mergeCell ref="E7:G7"/>
    <mergeCell ref="H7:J7"/>
    <mergeCell ref="K7:M7"/>
    <mergeCell ref="N7:P7"/>
    <mergeCell ref="B8:D8"/>
    <mergeCell ref="E8:G8"/>
    <mergeCell ref="H8:J8"/>
    <mergeCell ref="K8:M8"/>
    <mergeCell ref="N8:P8"/>
    <mergeCell ref="B9:D9"/>
    <mergeCell ref="E9:G9"/>
    <mergeCell ref="H9:J9"/>
    <mergeCell ref="K9:M9"/>
    <mergeCell ref="N9:P9"/>
    <mergeCell ref="B10:D10"/>
    <mergeCell ref="E10:G10"/>
    <mergeCell ref="H10:J10"/>
    <mergeCell ref="K10:M10"/>
    <mergeCell ref="N10:P10"/>
    <mergeCell ref="B11:D11"/>
    <mergeCell ref="E11:G11"/>
    <mergeCell ref="H11:J11"/>
    <mergeCell ref="K11:M11"/>
    <mergeCell ref="N11:P11"/>
    <mergeCell ref="B12:D12"/>
    <mergeCell ref="E12:G12"/>
    <mergeCell ref="H12:J12"/>
    <mergeCell ref="K12:M12"/>
    <mergeCell ref="N12:P12"/>
    <mergeCell ref="B13:D13"/>
    <mergeCell ref="E13:G13"/>
    <mergeCell ref="H13:J13"/>
    <mergeCell ref="K13:M13"/>
    <mergeCell ref="N13:P13"/>
    <mergeCell ref="B14:D14"/>
    <mergeCell ref="E14:G14"/>
    <mergeCell ref="H14:J14"/>
    <mergeCell ref="K14:M14"/>
    <mergeCell ref="N14:P14"/>
    <mergeCell ref="B15:D15"/>
    <mergeCell ref="E15:G15"/>
    <mergeCell ref="H15:J15"/>
    <mergeCell ref="K15:M15"/>
    <mergeCell ref="N15:P15"/>
    <mergeCell ref="A16:G16"/>
    <mergeCell ref="H16:J16"/>
    <mergeCell ref="K16:M16"/>
    <mergeCell ref="N16:P16"/>
    <mergeCell ref="K18:M18"/>
    <mergeCell ref="N18:P18"/>
    <mergeCell ref="K19:M19"/>
    <mergeCell ref="N19:P19"/>
    <mergeCell ref="D22:N22"/>
    <mergeCell ref="D23:N23"/>
    <mergeCell ref="A18:J19"/>
    <mergeCell ref="E24:M24"/>
    <mergeCell ref="E25:M25"/>
    <mergeCell ref="D26:M26"/>
    <mergeCell ref="A28:P28"/>
    <mergeCell ref="A29:D29"/>
    <mergeCell ref="E29:G29"/>
    <mergeCell ref="H29:J29"/>
    <mergeCell ref="K29:M29"/>
    <mergeCell ref="N29:P29"/>
    <mergeCell ref="B30:D30"/>
    <mergeCell ref="E30:G30"/>
    <mergeCell ref="H30:J30"/>
    <mergeCell ref="K30:M30"/>
    <mergeCell ref="N30:P30"/>
    <mergeCell ref="B31:D31"/>
    <mergeCell ref="E31:G31"/>
    <mergeCell ref="H31:J31"/>
    <mergeCell ref="K31:M31"/>
    <mergeCell ref="N31:P31"/>
    <mergeCell ref="B32:D32"/>
    <mergeCell ref="E32:G32"/>
    <mergeCell ref="H32:J32"/>
    <mergeCell ref="K32:M32"/>
    <mergeCell ref="N32:P32"/>
    <mergeCell ref="B33:D33"/>
    <mergeCell ref="E33:G33"/>
    <mergeCell ref="H33:J33"/>
    <mergeCell ref="K33:M33"/>
    <mergeCell ref="N33:P33"/>
    <mergeCell ref="B34:D34"/>
    <mergeCell ref="E34:G34"/>
    <mergeCell ref="H34:J34"/>
    <mergeCell ref="K34:M34"/>
    <mergeCell ref="N34:P34"/>
    <mergeCell ref="B35:D35"/>
    <mergeCell ref="E35:G35"/>
    <mergeCell ref="H35:J35"/>
    <mergeCell ref="K35:M35"/>
    <mergeCell ref="N35:P35"/>
    <mergeCell ref="B36:D36"/>
    <mergeCell ref="E36:G36"/>
    <mergeCell ref="H36:J36"/>
    <mergeCell ref="K36:M36"/>
    <mergeCell ref="N36:P36"/>
    <mergeCell ref="B37:D37"/>
    <mergeCell ref="E37:G37"/>
    <mergeCell ref="H37:J37"/>
    <mergeCell ref="K37:M37"/>
    <mergeCell ref="N37:P37"/>
    <mergeCell ref="B38:D38"/>
    <mergeCell ref="E38:G38"/>
    <mergeCell ref="H38:J38"/>
    <mergeCell ref="K38:M38"/>
    <mergeCell ref="N38:P38"/>
    <mergeCell ref="B39:D39"/>
    <mergeCell ref="E39:G39"/>
    <mergeCell ref="H39:J39"/>
    <mergeCell ref="K39:M39"/>
    <mergeCell ref="N39:P39"/>
    <mergeCell ref="A40:G40"/>
    <mergeCell ref="H40:J40"/>
    <mergeCell ref="K40:M40"/>
    <mergeCell ref="N40:P40"/>
    <mergeCell ref="K42:M42"/>
    <mergeCell ref="N42:P42"/>
    <mergeCell ref="K43:M43"/>
    <mergeCell ref="N43:P43"/>
    <mergeCell ref="D46:N46"/>
    <mergeCell ref="D47:N47"/>
    <mergeCell ref="E48:M48"/>
    <mergeCell ref="E49:M49"/>
    <mergeCell ref="A42:J43"/>
    <mergeCell ref="D50:M50"/>
    <mergeCell ref="A53:P53"/>
    <mergeCell ref="A54:D54"/>
    <mergeCell ref="E54:G54"/>
    <mergeCell ref="H54:J54"/>
    <mergeCell ref="K54:M54"/>
    <mergeCell ref="N54:P54"/>
    <mergeCell ref="B55:D55"/>
    <mergeCell ref="E55:G55"/>
    <mergeCell ref="H55:J55"/>
    <mergeCell ref="K55:M55"/>
    <mergeCell ref="N55:P55"/>
    <mergeCell ref="B56:D56"/>
    <mergeCell ref="E56:G56"/>
    <mergeCell ref="H56:J56"/>
    <mergeCell ref="K56:M56"/>
    <mergeCell ref="N56:P56"/>
    <mergeCell ref="B57:D57"/>
    <mergeCell ref="E57:G57"/>
    <mergeCell ref="H57:J57"/>
    <mergeCell ref="K57:M57"/>
    <mergeCell ref="N57:P57"/>
    <mergeCell ref="B58:D58"/>
    <mergeCell ref="E58:G58"/>
    <mergeCell ref="H58:J58"/>
    <mergeCell ref="K58:M58"/>
    <mergeCell ref="N58:P58"/>
    <mergeCell ref="B59:D59"/>
    <mergeCell ref="E59:G59"/>
    <mergeCell ref="H59:J59"/>
    <mergeCell ref="K59:M59"/>
    <mergeCell ref="N59:P59"/>
    <mergeCell ref="B60:D60"/>
    <mergeCell ref="E60:G60"/>
    <mergeCell ref="H60:J60"/>
    <mergeCell ref="K60:M60"/>
    <mergeCell ref="N60:P60"/>
    <mergeCell ref="B61:D61"/>
    <mergeCell ref="E61:G61"/>
    <mergeCell ref="H61:J61"/>
    <mergeCell ref="K61:M61"/>
    <mergeCell ref="N61:P61"/>
    <mergeCell ref="B62:D62"/>
    <mergeCell ref="E62:G62"/>
    <mergeCell ref="H62:J62"/>
    <mergeCell ref="K62:M62"/>
    <mergeCell ref="N62:P62"/>
    <mergeCell ref="B63:D63"/>
    <mergeCell ref="E63:G63"/>
    <mergeCell ref="H63:J63"/>
    <mergeCell ref="K63:M63"/>
    <mergeCell ref="N63:P63"/>
    <mergeCell ref="B64:D64"/>
    <mergeCell ref="E64:G64"/>
    <mergeCell ref="H64:J64"/>
    <mergeCell ref="K64:M64"/>
    <mergeCell ref="N64:P64"/>
    <mergeCell ref="A65:G65"/>
    <mergeCell ref="H65:J65"/>
    <mergeCell ref="K65:M65"/>
    <mergeCell ref="N65:P65"/>
    <mergeCell ref="K67:M67"/>
    <mergeCell ref="N67:P67"/>
    <mergeCell ref="K68:M68"/>
    <mergeCell ref="N68:P68"/>
    <mergeCell ref="D71:N71"/>
    <mergeCell ref="D72:N72"/>
    <mergeCell ref="E73:M73"/>
    <mergeCell ref="E74:M74"/>
    <mergeCell ref="A67:J68"/>
  </mergeCells>
  <printOptions horizontalCentered="1"/>
  <pageMargins left="0.51181102362204722" right="0.51181102362204722" top="0.78740157480314965" bottom="0.78740157480314965" header="0.31496062992125984" footer="0.31496062992125984"/>
  <pageSetup paperSize="9" scale="35" orientation="landscape" r:id="rId1"/>
  <headerFooter>
    <oddHeader xml:space="preserve">&amp;C&amp;"Arial,Negrito"ANEXO IV&amp;"Arial,Normal"
&amp;"Arial,Negrito"PLANILHAS DE CUSTOS E FORMAÇÃO DE PREÇOS (CONFORME ANEXO VII-D DA IN 05/2017)&amp;"Arial,Normal"
</oddHead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6"/>
  <sheetViews>
    <sheetView showGridLines="0" zoomScale="85" zoomScaleNormal="85" workbookViewId="0">
      <selection activeCell="Q152" sqref="Q152"/>
    </sheetView>
  </sheetViews>
  <sheetFormatPr defaultRowHeight="13.2"/>
  <cols>
    <col min="14" max="16" width="9.109375" style="1" customWidth="1"/>
  </cols>
  <sheetData>
    <row r="1" spans="1:16" ht="15.6">
      <c r="A1" s="2"/>
      <c r="B1" s="3"/>
      <c r="C1" s="3"/>
      <c r="D1" s="3"/>
      <c r="E1" s="3"/>
      <c r="F1" s="3"/>
      <c r="G1" s="3"/>
      <c r="H1" s="3"/>
      <c r="I1" s="3"/>
      <c r="J1" s="3"/>
      <c r="K1" s="3"/>
      <c r="L1" s="3"/>
      <c r="M1" s="3"/>
      <c r="N1" s="14"/>
      <c r="O1" s="14"/>
      <c r="P1" s="14"/>
    </row>
    <row r="2" spans="1:16" ht="15.6">
      <c r="A2" s="618" t="s">
        <v>447</v>
      </c>
      <c r="B2" s="619"/>
      <c r="C2" s="619"/>
      <c r="D2" s="619"/>
      <c r="E2" s="619"/>
      <c r="F2" s="619"/>
      <c r="G2" s="619"/>
      <c r="H2" s="619"/>
      <c r="I2" s="619"/>
      <c r="J2" s="619"/>
      <c r="K2" s="619"/>
      <c r="L2" s="619"/>
      <c r="M2" s="619"/>
      <c r="N2" s="619"/>
      <c r="O2" s="619"/>
      <c r="P2" s="620"/>
    </row>
    <row r="3" spans="1:16" ht="15.6">
      <c r="A3" s="2"/>
      <c r="B3" s="3"/>
      <c r="C3" s="3"/>
      <c r="D3" s="3"/>
      <c r="E3" s="3"/>
      <c r="F3" s="3"/>
      <c r="G3" s="3"/>
      <c r="H3" s="3"/>
      <c r="I3" s="3"/>
      <c r="J3" s="3"/>
      <c r="K3" s="3"/>
      <c r="L3" s="3"/>
      <c r="M3" s="3"/>
      <c r="N3" s="14"/>
      <c r="O3" s="14"/>
      <c r="P3" s="14"/>
    </row>
    <row r="4" spans="1:16" ht="16.2" customHeight="1">
      <c r="A4" s="680" t="s">
        <v>448</v>
      </c>
      <c r="B4" s="681"/>
      <c r="C4" s="759"/>
      <c r="D4" s="760"/>
      <c r="E4" s="761"/>
      <c r="F4" s="761"/>
      <c r="G4" s="761"/>
      <c r="H4" s="761"/>
      <c r="I4" s="761"/>
      <c r="J4" s="761"/>
      <c r="K4" s="761"/>
      <c r="L4" s="761"/>
      <c r="M4" s="761"/>
      <c r="N4" s="761"/>
      <c r="O4" s="761"/>
      <c r="P4" s="794"/>
    </row>
    <row r="5" spans="1:16" ht="16.2" customHeight="1">
      <c r="A5" s="680" t="s">
        <v>449</v>
      </c>
      <c r="B5" s="681"/>
      <c r="C5" s="759"/>
      <c r="D5" s="849"/>
      <c r="E5" s="762"/>
      <c r="F5" s="762"/>
      <c r="G5" s="762"/>
      <c r="H5" s="762"/>
      <c r="I5" s="762"/>
      <c r="J5" s="762"/>
      <c r="K5" s="762"/>
      <c r="L5" s="762"/>
      <c r="M5" s="762"/>
      <c r="N5" s="762"/>
      <c r="O5" s="762"/>
      <c r="P5" s="723"/>
    </row>
    <row r="6" spans="1:16">
      <c r="A6" s="4"/>
      <c r="B6" s="3"/>
      <c r="C6" s="3"/>
      <c r="D6" s="3"/>
      <c r="E6" s="3"/>
      <c r="F6" s="3"/>
      <c r="G6" s="3"/>
      <c r="H6" s="3"/>
      <c r="I6" s="3"/>
      <c r="J6" s="3"/>
      <c r="K6" s="3"/>
      <c r="L6" s="3"/>
      <c r="M6" s="3"/>
      <c r="N6" s="14"/>
      <c r="O6" s="14"/>
      <c r="P6" s="14"/>
    </row>
    <row r="7" spans="1:16" ht="15.6">
      <c r="A7" s="763" t="s">
        <v>451</v>
      </c>
      <c r="B7" s="763"/>
      <c r="C7" s="763"/>
      <c r="D7" s="763"/>
      <c r="E7" s="763"/>
      <c r="F7" s="763"/>
      <c r="G7" s="763"/>
      <c r="H7" s="763"/>
      <c r="I7" s="763"/>
      <c r="J7" s="763"/>
      <c r="K7" s="763"/>
      <c r="L7" s="763"/>
      <c r="M7" s="763"/>
      <c r="N7" s="763"/>
      <c r="O7" s="763"/>
      <c r="P7" s="763"/>
    </row>
    <row r="8" spans="1:16">
      <c r="A8" s="3"/>
      <c r="B8" s="3"/>
      <c r="C8" s="3"/>
      <c r="D8" s="3"/>
      <c r="E8" s="3"/>
      <c r="F8" s="3"/>
      <c r="G8" s="3"/>
      <c r="H8" s="3"/>
      <c r="I8" s="3"/>
      <c r="J8" s="3"/>
      <c r="K8" s="3"/>
      <c r="L8" s="3"/>
      <c r="M8" s="3"/>
      <c r="N8" s="14"/>
      <c r="O8" s="14"/>
      <c r="P8" s="14"/>
    </row>
    <row r="9" spans="1:16" ht="15.6">
      <c r="A9" s="757" t="s">
        <v>452</v>
      </c>
      <c r="B9" s="757"/>
      <c r="C9" s="757"/>
      <c r="D9" s="757"/>
      <c r="E9" s="757"/>
      <c r="F9" s="757"/>
      <c r="G9" s="757"/>
      <c r="H9" s="757"/>
      <c r="I9" s="757"/>
      <c r="J9" s="757"/>
      <c r="K9" s="757"/>
      <c r="L9" s="757"/>
      <c r="M9" s="757"/>
      <c r="N9" s="757"/>
      <c r="O9" s="757"/>
      <c r="P9" s="757"/>
    </row>
    <row r="10" spans="1:16">
      <c r="A10" s="5"/>
      <c r="B10" s="3"/>
      <c r="C10" s="3"/>
      <c r="D10" s="3"/>
      <c r="E10" s="3"/>
      <c r="F10" s="3"/>
      <c r="G10" s="3"/>
      <c r="H10" s="3"/>
      <c r="I10" s="3"/>
      <c r="J10" s="3"/>
      <c r="K10" s="3"/>
      <c r="L10" s="3"/>
      <c r="M10" s="3"/>
      <c r="N10" s="14"/>
      <c r="O10" s="14"/>
      <c r="P10" s="14"/>
    </row>
    <row r="11" spans="1:16" ht="15.6">
      <c r="A11" s="6" t="s">
        <v>25</v>
      </c>
      <c r="B11" s="680" t="s">
        <v>453</v>
      </c>
      <c r="C11" s="681"/>
      <c r="D11" s="681"/>
      <c r="E11" s="681"/>
      <c r="F11" s="681"/>
      <c r="G11" s="681"/>
      <c r="H11" s="681"/>
      <c r="I11" s="681"/>
      <c r="J11" s="681"/>
      <c r="K11" s="681"/>
      <c r="L11" s="681"/>
      <c r="M11" s="682"/>
      <c r="N11" s="848"/>
      <c r="O11" s="625"/>
      <c r="P11" s="626"/>
    </row>
    <row r="12" spans="1:16" ht="15.6">
      <c r="A12" s="7" t="s">
        <v>27</v>
      </c>
      <c r="B12" s="680" t="s">
        <v>454</v>
      </c>
      <c r="C12" s="681"/>
      <c r="D12" s="681"/>
      <c r="E12" s="681"/>
      <c r="F12" s="681"/>
      <c r="G12" s="681"/>
      <c r="H12" s="681"/>
      <c r="I12" s="681"/>
      <c r="J12" s="681"/>
      <c r="K12" s="681"/>
      <c r="L12" s="681"/>
      <c r="M12" s="682"/>
      <c r="N12" s="848"/>
      <c r="O12" s="625"/>
      <c r="P12" s="626"/>
    </row>
    <row r="13" spans="1:16" ht="15.6">
      <c r="A13" s="7" t="s">
        <v>30</v>
      </c>
      <c r="B13" s="680" t="s">
        <v>455</v>
      </c>
      <c r="C13" s="681"/>
      <c r="D13" s="681"/>
      <c r="E13" s="681"/>
      <c r="F13" s="681"/>
      <c r="G13" s="681"/>
      <c r="H13" s="681"/>
      <c r="I13" s="681"/>
      <c r="J13" s="681"/>
      <c r="K13" s="681"/>
      <c r="L13" s="681"/>
      <c r="M13" s="682"/>
      <c r="N13" s="624"/>
      <c r="O13" s="625"/>
      <c r="P13" s="626"/>
    </row>
    <row r="14" spans="1:16" ht="15.6">
      <c r="A14" s="7" t="s">
        <v>32</v>
      </c>
      <c r="B14" s="680" t="s">
        <v>456</v>
      </c>
      <c r="C14" s="681"/>
      <c r="D14" s="681"/>
      <c r="E14" s="681"/>
      <c r="F14" s="681"/>
      <c r="G14" s="681"/>
      <c r="H14" s="681"/>
      <c r="I14" s="681"/>
      <c r="J14" s="681"/>
      <c r="K14" s="681"/>
      <c r="L14" s="681"/>
      <c r="M14" s="682"/>
      <c r="N14" s="644"/>
      <c r="O14" s="625"/>
      <c r="P14" s="626"/>
    </row>
    <row r="15" spans="1:16">
      <c r="A15" s="8"/>
      <c r="B15" s="3"/>
      <c r="C15" s="3"/>
      <c r="D15" s="3"/>
      <c r="E15" s="3"/>
      <c r="F15" s="3"/>
      <c r="G15" s="3"/>
      <c r="H15" s="3"/>
      <c r="I15" s="3"/>
      <c r="J15" s="3"/>
      <c r="K15" s="3"/>
      <c r="L15" s="3"/>
      <c r="M15" s="3"/>
      <c r="N15" s="14"/>
      <c r="O15" s="14"/>
      <c r="P15" s="14"/>
    </row>
    <row r="16" spans="1:16" ht="15.6">
      <c r="A16" s="618" t="s">
        <v>457</v>
      </c>
      <c r="B16" s="619"/>
      <c r="C16" s="619"/>
      <c r="D16" s="619"/>
      <c r="E16" s="619"/>
      <c r="F16" s="619"/>
      <c r="G16" s="619"/>
      <c r="H16" s="619"/>
      <c r="I16" s="619"/>
      <c r="J16" s="619"/>
      <c r="K16" s="619"/>
      <c r="L16" s="619"/>
      <c r="M16" s="619"/>
      <c r="N16" s="619"/>
      <c r="O16" s="619"/>
      <c r="P16" s="620"/>
    </row>
    <row r="17" spans="1:16">
      <c r="A17" s="627" t="s">
        <v>35</v>
      </c>
      <c r="B17" s="628"/>
      <c r="C17" s="628"/>
      <c r="D17" s="629"/>
      <c r="E17" s="627" t="s">
        <v>36</v>
      </c>
      <c r="F17" s="628"/>
      <c r="G17" s="628"/>
      <c r="H17" s="628"/>
      <c r="I17" s="628"/>
      <c r="J17" s="628"/>
      <c r="K17" s="628"/>
      <c r="L17" s="628"/>
      <c r="M17" s="629"/>
      <c r="N17" s="627" t="s">
        <v>458</v>
      </c>
      <c r="O17" s="628"/>
      <c r="P17" s="629"/>
    </row>
    <row r="18" spans="1:16">
      <c r="A18" s="668"/>
      <c r="B18" s="669"/>
      <c r="C18" s="669"/>
      <c r="D18" s="670"/>
      <c r="E18" s="668"/>
      <c r="F18" s="669"/>
      <c r="G18" s="669"/>
      <c r="H18" s="669"/>
      <c r="I18" s="669"/>
      <c r="J18" s="669"/>
      <c r="K18" s="669"/>
      <c r="L18" s="669"/>
      <c r="M18" s="670"/>
      <c r="N18" s="668"/>
      <c r="O18" s="669"/>
      <c r="P18" s="670"/>
    </row>
    <row r="19" spans="1:16">
      <c r="A19" s="630"/>
      <c r="B19" s="631"/>
      <c r="C19" s="631"/>
      <c r="D19" s="632"/>
      <c r="E19" s="630"/>
      <c r="F19" s="631"/>
      <c r="G19" s="631"/>
      <c r="H19" s="631"/>
      <c r="I19" s="631"/>
      <c r="J19" s="631"/>
      <c r="K19" s="631"/>
      <c r="L19" s="631"/>
      <c r="M19" s="632"/>
      <c r="N19" s="630"/>
      <c r="O19" s="631"/>
      <c r="P19" s="632"/>
    </row>
    <row r="20" spans="1:16" ht="15.6">
      <c r="A20" s="624"/>
      <c r="B20" s="625"/>
      <c r="C20" s="625"/>
      <c r="D20" s="626"/>
      <c r="E20" s="751"/>
      <c r="F20" s="752"/>
      <c r="G20" s="752"/>
      <c r="H20" s="752"/>
      <c r="I20" s="752"/>
      <c r="J20" s="752"/>
      <c r="K20" s="752"/>
      <c r="L20" s="752"/>
      <c r="M20" s="753"/>
      <c r="N20" s="845"/>
      <c r="O20" s="846"/>
      <c r="P20" s="847"/>
    </row>
    <row r="21" spans="1:16" ht="15.6">
      <c r="A21" s="739"/>
      <c r="B21" s="740"/>
      <c r="C21" s="740"/>
      <c r="D21" s="741"/>
      <c r="E21" s="742"/>
      <c r="F21" s="743"/>
      <c r="G21" s="743"/>
      <c r="H21" s="743"/>
      <c r="I21" s="743"/>
      <c r="J21" s="743"/>
      <c r="K21" s="743"/>
      <c r="L21" s="743"/>
      <c r="M21" s="744"/>
      <c r="N21" s="842"/>
      <c r="O21" s="843"/>
      <c r="P21" s="844"/>
    </row>
    <row r="22" spans="1:16" ht="15.6">
      <c r="A22" s="739"/>
      <c r="B22" s="740"/>
      <c r="C22" s="740"/>
      <c r="D22" s="741"/>
      <c r="E22" s="742"/>
      <c r="F22" s="743"/>
      <c r="G22" s="743"/>
      <c r="H22" s="743"/>
      <c r="I22" s="743"/>
      <c r="J22" s="743"/>
      <c r="K22" s="743"/>
      <c r="L22" s="743"/>
      <c r="M22" s="744"/>
      <c r="N22" s="842"/>
      <c r="O22" s="843"/>
      <c r="P22" s="844"/>
    </row>
    <row r="23" spans="1:16">
      <c r="A23" s="688" t="s">
        <v>699</v>
      </c>
      <c r="B23" s="688"/>
      <c r="C23" s="688"/>
      <c r="D23" s="688"/>
      <c r="E23" s="688"/>
      <c r="F23" s="688"/>
      <c r="G23" s="688"/>
      <c r="H23" s="688"/>
      <c r="I23" s="688"/>
      <c r="J23" s="688"/>
      <c r="K23" s="688"/>
      <c r="L23" s="688"/>
      <c r="M23" s="688"/>
      <c r="N23" s="688"/>
      <c r="O23" s="688"/>
      <c r="P23" s="688"/>
    </row>
    <row r="24" spans="1:16">
      <c r="A24" s="688" t="s">
        <v>700</v>
      </c>
      <c r="B24" s="688"/>
      <c r="C24" s="688"/>
      <c r="D24" s="688"/>
      <c r="E24" s="688"/>
      <c r="F24" s="688"/>
      <c r="G24" s="688"/>
      <c r="H24" s="688"/>
      <c r="I24" s="688"/>
      <c r="J24" s="688"/>
      <c r="K24" s="688"/>
      <c r="L24" s="688"/>
      <c r="M24" s="688"/>
      <c r="N24" s="688"/>
      <c r="O24" s="688"/>
      <c r="P24" s="688"/>
    </row>
    <row r="25" spans="1:16">
      <c r="A25" s="3"/>
      <c r="B25" s="3"/>
      <c r="C25" s="3"/>
      <c r="D25" s="3"/>
      <c r="E25" s="3"/>
      <c r="F25" s="3"/>
      <c r="G25" s="3"/>
      <c r="H25" s="3"/>
      <c r="I25" s="3"/>
      <c r="J25" s="3"/>
      <c r="K25" s="3"/>
      <c r="L25" s="3"/>
      <c r="M25" s="3"/>
      <c r="N25" s="14"/>
      <c r="O25" s="14"/>
      <c r="P25" s="14"/>
    </row>
    <row r="26" spans="1:16" ht="15.6">
      <c r="A26" s="615" t="s">
        <v>461</v>
      </c>
      <c r="B26" s="616"/>
      <c r="C26" s="616"/>
      <c r="D26" s="616"/>
      <c r="E26" s="616"/>
      <c r="F26" s="616"/>
      <c r="G26" s="616"/>
      <c r="H26" s="616"/>
      <c r="I26" s="616"/>
      <c r="J26" s="616"/>
      <c r="K26" s="616"/>
      <c r="L26" s="616"/>
      <c r="M26" s="616"/>
      <c r="N26" s="616"/>
      <c r="O26" s="616"/>
      <c r="P26" s="617"/>
    </row>
    <row r="27" spans="1:16">
      <c r="A27" s="12"/>
      <c r="B27" s="3"/>
      <c r="C27" s="3"/>
      <c r="D27" s="3"/>
      <c r="E27" s="3"/>
      <c r="F27" s="3"/>
      <c r="G27" s="3"/>
      <c r="H27" s="3"/>
      <c r="I27" s="3"/>
      <c r="J27" s="3"/>
      <c r="K27" s="3"/>
      <c r="L27" s="3"/>
      <c r="M27" s="3"/>
      <c r="N27" s="14"/>
      <c r="O27" s="14"/>
      <c r="P27" s="14"/>
    </row>
    <row r="28" spans="1:16" ht="15.6">
      <c r="A28" s="615" t="s">
        <v>462</v>
      </c>
      <c r="B28" s="616"/>
      <c r="C28" s="616"/>
      <c r="D28" s="616"/>
      <c r="E28" s="616"/>
      <c r="F28" s="616"/>
      <c r="G28" s="616"/>
      <c r="H28" s="616"/>
      <c r="I28" s="616"/>
      <c r="J28" s="616"/>
      <c r="K28" s="616"/>
      <c r="L28" s="616"/>
      <c r="M28" s="616"/>
      <c r="N28" s="616"/>
      <c r="O28" s="616"/>
      <c r="P28" s="617"/>
    </row>
    <row r="29" spans="1:16" ht="15.6">
      <c r="A29" s="615" t="s">
        <v>463</v>
      </c>
      <c r="B29" s="616"/>
      <c r="C29" s="616"/>
      <c r="D29" s="616"/>
      <c r="E29" s="616"/>
      <c r="F29" s="616"/>
      <c r="G29" s="616"/>
      <c r="H29" s="616"/>
      <c r="I29" s="616"/>
      <c r="J29" s="616"/>
      <c r="K29" s="616"/>
      <c r="L29" s="616"/>
      <c r="M29" s="616"/>
      <c r="N29" s="616"/>
      <c r="O29" s="616"/>
      <c r="P29" s="617"/>
    </row>
    <row r="30" spans="1:16" ht="15.6">
      <c r="A30" s="624" t="s">
        <v>464</v>
      </c>
      <c r="B30" s="625"/>
      <c r="C30" s="625"/>
      <c r="D30" s="625"/>
      <c r="E30" s="625"/>
      <c r="F30" s="625"/>
      <c r="G30" s="625"/>
      <c r="H30" s="625"/>
      <c r="I30" s="625"/>
      <c r="J30" s="625"/>
      <c r="K30" s="625"/>
      <c r="L30" s="625"/>
      <c r="M30" s="625"/>
      <c r="N30" s="625"/>
      <c r="O30" s="625"/>
      <c r="P30" s="626"/>
    </row>
    <row r="31" spans="1:16" ht="15.6">
      <c r="A31" s="7">
        <v>1</v>
      </c>
      <c r="B31" s="680" t="s">
        <v>701</v>
      </c>
      <c r="C31" s="681"/>
      <c r="D31" s="681"/>
      <c r="E31" s="681"/>
      <c r="F31" s="681"/>
      <c r="G31" s="681"/>
      <c r="H31" s="681"/>
      <c r="I31" s="681"/>
      <c r="J31" s="681"/>
      <c r="K31" s="681"/>
      <c r="L31" s="681"/>
      <c r="M31" s="681"/>
      <c r="N31" s="624"/>
      <c r="O31" s="625"/>
      <c r="P31" s="626"/>
    </row>
    <row r="32" spans="1:16" ht="15.6">
      <c r="A32" s="7">
        <v>2</v>
      </c>
      <c r="B32" s="680" t="s">
        <v>466</v>
      </c>
      <c r="C32" s="681"/>
      <c r="D32" s="681"/>
      <c r="E32" s="681"/>
      <c r="F32" s="681"/>
      <c r="G32" s="681"/>
      <c r="H32" s="681"/>
      <c r="I32" s="681"/>
      <c r="J32" s="681"/>
      <c r="K32" s="681"/>
      <c r="L32" s="681"/>
      <c r="M32" s="682"/>
      <c r="N32" s="751"/>
      <c r="O32" s="752"/>
      <c r="P32" s="753"/>
    </row>
    <row r="33" spans="1:16" ht="15.6">
      <c r="A33" s="7">
        <v>3</v>
      </c>
      <c r="B33" s="680" t="s">
        <v>468</v>
      </c>
      <c r="C33" s="681"/>
      <c r="D33" s="681"/>
      <c r="E33" s="681"/>
      <c r="F33" s="681"/>
      <c r="G33" s="681"/>
      <c r="H33" s="681"/>
      <c r="I33" s="681"/>
      <c r="J33" s="681"/>
      <c r="K33" s="681"/>
      <c r="L33" s="681"/>
      <c r="M33" s="682"/>
      <c r="N33" s="832"/>
      <c r="O33" s="833"/>
      <c r="P33" s="834"/>
    </row>
    <row r="34" spans="1:16" ht="15.6">
      <c r="A34" s="7">
        <v>4</v>
      </c>
      <c r="B34" s="680" t="s">
        <v>469</v>
      </c>
      <c r="C34" s="681"/>
      <c r="D34" s="681"/>
      <c r="E34" s="681"/>
      <c r="F34" s="681"/>
      <c r="G34" s="681"/>
      <c r="H34" s="681"/>
      <c r="I34" s="681"/>
      <c r="J34" s="681"/>
      <c r="K34" s="681"/>
      <c r="L34" s="681"/>
      <c r="M34" s="682"/>
      <c r="N34" s="838"/>
      <c r="O34" s="839"/>
      <c r="P34" s="840"/>
    </row>
    <row r="35" spans="1:16" ht="15.6">
      <c r="A35" s="7">
        <v>5</v>
      </c>
      <c r="B35" s="680" t="s">
        <v>470</v>
      </c>
      <c r="C35" s="681"/>
      <c r="D35" s="681"/>
      <c r="E35" s="681"/>
      <c r="F35" s="681"/>
      <c r="G35" s="681"/>
      <c r="H35" s="681"/>
      <c r="I35" s="681"/>
      <c r="J35" s="681"/>
      <c r="K35" s="681"/>
      <c r="L35" s="681"/>
      <c r="M35" s="682"/>
      <c r="N35" s="841"/>
      <c r="O35" s="752"/>
      <c r="P35" s="753"/>
    </row>
    <row r="36" spans="1:16">
      <c r="A36" s="686" t="s">
        <v>702</v>
      </c>
      <c r="B36" s="686"/>
      <c r="C36" s="686"/>
      <c r="D36" s="686"/>
      <c r="E36" s="686"/>
      <c r="F36" s="686"/>
      <c r="G36" s="686"/>
      <c r="H36" s="686"/>
      <c r="I36" s="686"/>
      <c r="J36" s="686"/>
      <c r="K36" s="686"/>
      <c r="L36" s="686"/>
      <c r="M36" s="686"/>
      <c r="N36" s="686"/>
      <c r="O36" s="686"/>
      <c r="P36" s="686"/>
    </row>
    <row r="37" spans="1:16">
      <c r="A37" s="688" t="s">
        <v>703</v>
      </c>
      <c r="B37" s="688"/>
      <c r="C37" s="688"/>
      <c r="D37" s="688"/>
      <c r="E37" s="688"/>
      <c r="F37" s="688"/>
      <c r="G37" s="688"/>
      <c r="H37" s="688"/>
      <c r="I37" s="688"/>
      <c r="J37" s="688"/>
      <c r="K37" s="688"/>
      <c r="L37" s="688"/>
      <c r="M37" s="688"/>
      <c r="N37" s="688"/>
      <c r="O37" s="688"/>
      <c r="P37" s="688"/>
    </row>
    <row r="38" spans="1:16">
      <c r="A38" s="3"/>
      <c r="B38" s="3"/>
      <c r="C38" s="3"/>
      <c r="D38" s="3"/>
      <c r="E38" s="3"/>
      <c r="F38" s="3"/>
      <c r="G38" s="3"/>
      <c r="H38" s="3"/>
      <c r="I38" s="3"/>
      <c r="J38" s="3"/>
      <c r="K38" s="3"/>
      <c r="L38" s="3"/>
      <c r="M38" s="3"/>
      <c r="N38" s="14"/>
      <c r="O38" s="14"/>
      <c r="P38" s="14"/>
    </row>
    <row r="39" spans="1:16" ht="15.6">
      <c r="A39" s="618" t="s">
        <v>472</v>
      </c>
      <c r="B39" s="619"/>
      <c r="C39" s="619"/>
      <c r="D39" s="619"/>
      <c r="E39" s="619"/>
      <c r="F39" s="619"/>
      <c r="G39" s="619"/>
      <c r="H39" s="619"/>
      <c r="I39" s="619"/>
      <c r="J39" s="619"/>
      <c r="K39" s="619"/>
      <c r="L39" s="619"/>
      <c r="M39" s="619"/>
      <c r="N39" s="619"/>
      <c r="O39" s="619"/>
      <c r="P39" s="620"/>
    </row>
    <row r="40" spans="1:16" ht="15.6">
      <c r="A40" s="13">
        <v>1</v>
      </c>
      <c r="B40" s="668" t="s">
        <v>50</v>
      </c>
      <c r="C40" s="669"/>
      <c r="D40" s="669"/>
      <c r="E40" s="669"/>
      <c r="F40" s="669"/>
      <c r="G40" s="669"/>
      <c r="H40" s="669"/>
      <c r="I40" s="669"/>
      <c r="J40" s="669"/>
      <c r="K40" s="669"/>
      <c r="L40" s="669"/>
      <c r="M40" s="670"/>
      <c r="N40" s="630" t="s">
        <v>51</v>
      </c>
      <c r="O40" s="631"/>
      <c r="P40" s="632"/>
    </row>
    <row r="41" spans="1:16" ht="15.6">
      <c r="A41" s="7" t="s">
        <v>25</v>
      </c>
      <c r="B41" s="680" t="s">
        <v>473</v>
      </c>
      <c r="C41" s="681"/>
      <c r="D41" s="681"/>
      <c r="E41" s="681"/>
      <c r="F41" s="681"/>
      <c r="G41" s="681"/>
      <c r="H41" s="681"/>
      <c r="I41" s="681"/>
      <c r="J41" s="681"/>
      <c r="K41" s="681"/>
      <c r="L41" s="681"/>
      <c r="M41" s="682"/>
      <c r="N41" s="832"/>
      <c r="O41" s="833"/>
      <c r="P41" s="834"/>
    </row>
    <row r="42" spans="1:16" ht="15.6">
      <c r="A42" s="7" t="s">
        <v>27</v>
      </c>
      <c r="B42" s="680" t="s">
        <v>474</v>
      </c>
      <c r="C42" s="681"/>
      <c r="D42" s="681"/>
      <c r="E42" s="681"/>
      <c r="F42" s="681"/>
      <c r="G42" s="681"/>
      <c r="H42" s="681"/>
      <c r="I42" s="681"/>
      <c r="J42" s="681"/>
      <c r="K42" s="681"/>
      <c r="L42" s="681"/>
      <c r="M42" s="682"/>
      <c r="N42" s="832"/>
      <c r="O42" s="833"/>
      <c r="P42" s="834"/>
    </row>
    <row r="43" spans="1:16" ht="15.6">
      <c r="A43" s="7" t="s">
        <v>30</v>
      </c>
      <c r="B43" s="680" t="s">
        <v>475</v>
      </c>
      <c r="C43" s="681"/>
      <c r="D43" s="681"/>
      <c r="E43" s="681"/>
      <c r="F43" s="681"/>
      <c r="G43" s="681"/>
      <c r="H43" s="681"/>
      <c r="I43" s="681"/>
      <c r="J43" s="681"/>
      <c r="K43" s="681"/>
      <c r="L43" s="681"/>
      <c r="M43" s="682"/>
      <c r="N43" s="832"/>
      <c r="O43" s="833"/>
      <c r="P43" s="834"/>
    </row>
    <row r="44" spans="1:16" ht="15.6">
      <c r="A44" s="7" t="s">
        <v>32</v>
      </c>
      <c r="B44" s="680" t="s">
        <v>476</v>
      </c>
      <c r="C44" s="681"/>
      <c r="D44" s="681"/>
      <c r="E44" s="681"/>
      <c r="F44" s="681"/>
      <c r="G44" s="681"/>
      <c r="H44" s="681"/>
      <c r="I44" s="681"/>
      <c r="J44" s="681"/>
      <c r="K44" s="681"/>
      <c r="L44" s="681"/>
      <c r="M44" s="682"/>
      <c r="N44" s="832"/>
      <c r="O44" s="833"/>
      <c r="P44" s="834"/>
    </row>
    <row r="45" spans="1:16" ht="15.6">
      <c r="A45" s="7" t="s">
        <v>56</v>
      </c>
      <c r="B45" s="680" t="s">
        <v>477</v>
      </c>
      <c r="C45" s="681"/>
      <c r="D45" s="681"/>
      <c r="E45" s="681"/>
      <c r="F45" s="681"/>
      <c r="G45" s="681"/>
      <c r="H45" s="681"/>
      <c r="I45" s="681"/>
      <c r="J45" s="681"/>
      <c r="K45" s="681"/>
      <c r="L45" s="681"/>
      <c r="M45" s="682"/>
      <c r="N45" s="832"/>
      <c r="O45" s="833"/>
      <c r="P45" s="834"/>
    </row>
    <row r="46" spans="1:16" ht="15.6">
      <c r="A46" s="7" t="s">
        <v>58</v>
      </c>
      <c r="B46" s="680" t="s">
        <v>478</v>
      </c>
      <c r="C46" s="681"/>
      <c r="D46" s="681"/>
      <c r="E46" s="681"/>
      <c r="F46" s="681"/>
      <c r="G46" s="681"/>
      <c r="H46" s="681"/>
      <c r="I46" s="681"/>
      <c r="J46" s="681"/>
      <c r="K46" s="681"/>
      <c r="L46" s="681"/>
      <c r="M46" s="682"/>
      <c r="N46" s="832"/>
      <c r="O46" s="833"/>
      <c r="P46" s="834"/>
    </row>
    <row r="47" spans="1:16" ht="15.6">
      <c r="A47" s="7" t="s">
        <v>60</v>
      </c>
      <c r="B47" s="680" t="s">
        <v>479</v>
      </c>
      <c r="C47" s="681"/>
      <c r="D47" s="681"/>
      <c r="E47" s="681"/>
      <c r="F47" s="681"/>
      <c r="G47" s="681"/>
      <c r="H47" s="681"/>
      <c r="I47" s="681"/>
      <c r="J47" s="681"/>
      <c r="K47" s="681"/>
      <c r="L47" s="681"/>
      <c r="M47" s="682"/>
      <c r="N47" s="832"/>
      <c r="O47" s="833"/>
      <c r="P47" s="834"/>
    </row>
    <row r="48" spans="1:16" ht="15.6">
      <c r="A48" s="633" t="s">
        <v>480</v>
      </c>
      <c r="B48" s="634"/>
      <c r="C48" s="634"/>
      <c r="D48" s="634"/>
      <c r="E48" s="634"/>
      <c r="F48" s="634"/>
      <c r="G48" s="634"/>
      <c r="H48" s="634"/>
      <c r="I48" s="634"/>
      <c r="J48" s="634"/>
      <c r="K48" s="634"/>
      <c r="L48" s="634"/>
      <c r="M48" s="635"/>
      <c r="N48" s="809"/>
      <c r="O48" s="810"/>
      <c r="P48" s="811"/>
    </row>
    <row r="49" spans="1:16">
      <c r="A49" s="686" t="s">
        <v>704</v>
      </c>
      <c r="B49" s="686"/>
      <c r="C49" s="686"/>
      <c r="D49" s="686"/>
      <c r="E49" s="686"/>
      <c r="F49" s="686"/>
      <c r="G49" s="686"/>
      <c r="H49" s="686"/>
      <c r="I49" s="686"/>
      <c r="J49" s="686"/>
      <c r="K49" s="686"/>
      <c r="L49" s="686"/>
      <c r="M49" s="686"/>
      <c r="N49" s="686"/>
      <c r="O49" s="686"/>
      <c r="P49" s="686"/>
    </row>
    <row r="50" spans="1:16">
      <c r="A50" s="688" t="s">
        <v>705</v>
      </c>
      <c r="B50" s="688"/>
      <c r="C50" s="688"/>
      <c r="D50" s="688"/>
      <c r="E50" s="688"/>
      <c r="F50" s="688"/>
      <c r="G50" s="688"/>
      <c r="H50" s="688"/>
      <c r="I50" s="688"/>
      <c r="J50" s="688"/>
      <c r="K50" s="688"/>
      <c r="L50" s="688"/>
      <c r="M50" s="688"/>
      <c r="N50" s="688"/>
      <c r="O50" s="688"/>
      <c r="P50" s="688"/>
    </row>
    <row r="51" spans="1:16">
      <c r="A51" s="3"/>
      <c r="B51" s="3"/>
      <c r="C51" s="3"/>
      <c r="D51" s="3"/>
      <c r="E51" s="3"/>
      <c r="F51" s="3"/>
      <c r="G51" s="3"/>
      <c r="H51" s="3"/>
      <c r="I51" s="3"/>
      <c r="J51" s="3"/>
      <c r="K51" s="3"/>
      <c r="L51" s="3"/>
      <c r="M51" s="3"/>
      <c r="N51" s="14"/>
      <c r="O51" s="14"/>
      <c r="P51" s="14"/>
    </row>
    <row r="52" spans="1:16" ht="15.6">
      <c r="A52" s="618" t="s">
        <v>482</v>
      </c>
      <c r="B52" s="619"/>
      <c r="C52" s="619"/>
      <c r="D52" s="619"/>
      <c r="E52" s="619"/>
      <c r="F52" s="619"/>
      <c r="G52" s="619"/>
      <c r="H52" s="619"/>
      <c r="I52" s="619"/>
      <c r="J52" s="619"/>
      <c r="K52" s="619"/>
      <c r="L52" s="619"/>
      <c r="M52" s="619"/>
      <c r="N52" s="619"/>
      <c r="O52" s="619"/>
      <c r="P52" s="620"/>
    </row>
    <row r="53" spans="1:16" ht="15.6">
      <c r="A53" s="618" t="s">
        <v>483</v>
      </c>
      <c r="B53" s="619"/>
      <c r="C53" s="619"/>
      <c r="D53" s="619"/>
      <c r="E53" s="619"/>
      <c r="F53" s="619"/>
      <c r="G53" s="619"/>
      <c r="H53" s="619"/>
      <c r="I53" s="619"/>
      <c r="J53" s="619"/>
      <c r="K53" s="619"/>
      <c r="L53" s="619"/>
      <c r="M53" s="619"/>
      <c r="N53" s="619"/>
      <c r="O53" s="619"/>
      <c r="P53" s="620"/>
    </row>
    <row r="54" spans="1:16" ht="15.6">
      <c r="A54" s="13" t="s">
        <v>484</v>
      </c>
      <c r="B54" s="618" t="s">
        <v>485</v>
      </c>
      <c r="C54" s="619"/>
      <c r="D54" s="619"/>
      <c r="E54" s="619"/>
      <c r="F54" s="619"/>
      <c r="G54" s="619"/>
      <c r="H54" s="619"/>
      <c r="I54" s="619"/>
      <c r="J54" s="619"/>
      <c r="K54" s="619"/>
      <c r="L54" s="619"/>
      <c r="M54" s="620"/>
      <c r="N54" s="618" t="s">
        <v>51</v>
      </c>
      <c r="O54" s="619"/>
      <c r="P54" s="620"/>
    </row>
    <row r="55" spans="1:16" ht="15.6">
      <c r="A55" s="7" t="s">
        <v>25</v>
      </c>
      <c r="B55" s="680" t="s">
        <v>486</v>
      </c>
      <c r="C55" s="681"/>
      <c r="D55" s="681"/>
      <c r="E55" s="681"/>
      <c r="F55" s="681"/>
      <c r="G55" s="681"/>
      <c r="H55" s="681"/>
      <c r="I55" s="681"/>
      <c r="J55" s="681"/>
      <c r="K55" s="681"/>
      <c r="L55" s="681"/>
      <c r="M55" s="682"/>
      <c r="N55" s="832"/>
      <c r="O55" s="833"/>
      <c r="P55" s="834"/>
    </row>
    <row r="56" spans="1:16" ht="15.6">
      <c r="A56" s="7" t="s">
        <v>27</v>
      </c>
      <c r="B56" s="680" t="s">
        <v>487</v>
      </c>
      <c r="C56" s="681"/>
      <c r="D56" s="681"/>
      <c r="E56" s="681"/>
      <c r="F56" s="681"/>
      <c r="G56" s="681"/>
      <c r="H56" s="681"/>
      <c r="I56" s="681"/>
      <c r="J56" s="681"/>
      <c r="K56" s="681"/>
      <c r="L56" s="681"/>
      <c r="M56" s="682"/>
      <c r="N56" s="832"/>
      <c r="O56" s="833"/>
      <c r="P56" s="834"/>
    </row>
    <row r="57" spans="1:16" ht="15.6">
      <c r="A57" s="633" t="s">
        <v>480</v>
      </c>
      <c r="B57" s="634"/>
      <c r="C57" s="634"/>
      <c r="D57" s="634"/>
      <c r="E57" s="634"/>
      <c r="F57" s="634"/>
      <c r="G57" s="634"/>
      <c r="H57" s="634"/>
      <c r="I57" s="634"/>
      <c r="J57" s="634"/>
      <c r="K57" s="634"/>
      <c r="L57" s="634"/>
      <c r="M57" s="635"/>
      <c r="N57" s="809"/>
      <c r="O57" s="810"/>
      <c r="P57" s="811"/>
    </row>
    <row r="58" spans="1:16">
      <c r="A58" s="688" t="s">
        <v>488</v>
      </c>
      <c r="B58" s="688"/>
      <c r="C58" s="688"/>
      <c r="D58" s="688"/>
      <c r="E58" s="688"/>
      <c r="F58" s="688"/>
      <c r="G58" s="688"/>
      <c r="H58" s="688"/>
      <c r="I58" s="688"/>
      <c r="J58" s="688"/>
      <c r="K58" s="688"/>
      <c r="L58" s="688"/>
      <c r="M58" s="688"/>
      <c r="N58" s="688"/>
      <c r="O58" s="688"/>
      <c r="P58" s="688"/>
    </row>
    <row r="59" spans="1:16">
      <c r="A59" s="688" t="s">
        <v>489</v>
      </c>
      <c r="B59" s="688"/>
      <c r="C59" s="688"/>
      <c r="D59" s="688"/>
      <c r="E59" s="688"/>
      <c r="F59" s="688"/>
      <c r="G59" s="688"/>
      <c r="H59" s="688"/>
      <c r="I59" s="688"/>
      <c r="J59" s="688"/>
      <c r="K59" s="688"/>
      <c r="L59" s="688"/>
      <c r="M59" s="688"/>
      <c r="N59" s="688"/>
      <c r="O59" s="688"/>
      <c r="P59" s="688"/>
    </row>
    <row r="60" spans="1:16">
      <c r="A60" s="3"/>
      <c r="B60" s="3"/>
      <c r="C60" s="3"/>
      <c r="D60" s="3"/>
      <c r="E60" s="3"/>
      <c r="F60" s="3"/>
      <c r="G60" s="3"/>
      <c r="H60" s="3"/>
      <c r="I60" s="3"/>
      <c r="J60" s="3"/>
      <c r="K60" s="3"/>
      <c r="L60" s="3"/>
      <c r="M60" s="3"/>
      <c r="N60" s="14"/>
      <c r="O60" s="14"/>
      <c r="P60" s="14"/>
    </row>
    <row r="61" spans="1:16" ht="15.6">
      <c r="A61" s="615" t="s">
        <v>490</v>
      </c>
      <c r="B61" s="616"/>
      <c r="C61" s="616"/>
      <c r="D61" s="616"/>
      <c r="E61" s="616"/>
      <c r="F61" s="616"/>
      <c r="G61" s="616"/>
      <c r="H61" s="616"/>
      <c r="I61" s="616"/>
      <c r="J61" s="616"/>
      <c r="K61" s="616"/>
      <c r="L61" s="616"/>
      <c r="M61" s="616"/>
      <c r="N61" s="616"/>
      <c r="O61" s="616"/>
      <c r="P61" s="617"/>
    </row>
    <row r="62" spans="1:16" ht="15.6">
      <c r="A62" s="13" t="s">
        <v>491</v>
      </c>
      <c r="B62" s="618" t="s">
        <v>492</v>
      </c>
      <c r="C62" s="619"/>
      <c r="D62" s="619"/>
      <c r="E62" s="619"/>
      <c r="F62" s="619"/>
      <c r="G62" s="619"/>
      <c r="H62" s="619"/>
      <c r="I62" s="619"/>
      <c r="J62" s="619"/>
      <c r="K62" s="620"/>
      <c r="L62" s="618" t="s">
        <v>493</v>
      </c>
      <c r="M62" s="620"/>
      <c r="N62" s="618" t="s">
        <v>51</v>
      </c>
      <c r="O62" s="619"/>
      <c r="P62" s="620"/>
    </row>
    <row r="63" spans="1:16" ht="15.6">
      <c r="A63" s="7" t="s">
        <v>25</v>
      </c>
      <c r="B63" s="680" t="s">
        <v>494</v>
      </c>
      <c r="C63" s="681"/>
      <c r="D63" s="681"/>
      <c r="E63" s="681"/>
      <c r="F63" s="681"/>
      <c r="G63" s="681"/>
      <c r="H63" s="681"/>
      <c r="I63" s="681"/>
      <c r="J63" s="681"/>
      <c r="K63" s="682"/>
      <c r="L63" s="693">
        <f>'BASE DE CÁLCULO'!C76</f>
        <v>0.2</v>
      </c>
      <c r="M63" s="723"/>
      <c r="N63" s="832"/>
      <c r="O63" s="833"/>
      <c r="P63" s="834"/>
    </row>
    <row r="64" spans="1:16" ht="15.6">
      <c r="A64" s="7" t="s">
        <v>27</v>
      </c>
      <c r="B64" s="680" t="s">
        <v>495</v>
      </c>
      <c r="C64" s="681"/>
      <c r="D64" s="681"/>
      <c r="E64" s="681"/>
      <c r="F64" s="681"/>
      <c r="G64" s="681"/>
      <c r="H64" s="681"/>
      <c r="I64" s="681"/>
      <c r="J64" s="681"/>
      <c r="K64" s="682"/>
      <c r="L64" s="693">
        <f>'BASE DE CÁLCULO'!C80</f>
        <v>2.5000000000000001E-2</v>
      </c>
      <c r="M64" s="723"/>
      <c r="N64" s="832"/>
      <c r="O64" s="833"/>
      <c r="P64" s="834"/>
    </row>
    <row r="65" spans="1:16" ht="15.6">
      <c r="A65" s="7" t="s">
        <v>30</v>
      </c>
      <c r="B65" s="680" t="s">
        <v>496</v>
      </c>
      <c r="C65" s="681"/>
      <c r="D65" s="681"/>
      <c r="E65" s="681"/>
      <c r="F65" s="681"/>
      <c r="G65" s="681"/>
      <c r="H65" s="681"/>
      <c r="I65" s="681"/>
      <c r="J65" s="681"/>
      <c r="K65" s="682"/>
      <c r="L65" s="726"/>
      <c r="M65" s="727"/>
      <c r="N65" s="832"/>
      <c r="O65" s="833"/>
      <c r="P65" s="834"/>
    </row>
    <row r="66" spans="1:16" ht="15.6">
      <c r="A66" s="7" t="s">
        <v>32</v>
      </c>
      <c r="B66" s="680" t="s">
        <v>497</v>
      </c>
      <c r="C66" s="681"/>
      <c r="D66" s="681"/>
      <c r="E66" s="681"/>
      <c r="F66" s="681"/>
      <c r="G66" s="681"/>
      <c r="H66" s="681"/>
      <c r="I66" s="681"/>
      <c r="J66" s="681"/>
      <c r="K66" s="682"/>
      <c r="L66" s="693">
        <f>'BASE DE CÁLCULO'!C77</f>
        <v>1.4999999999999999E-2</v>
      </c>
      <c r="M66" s="723"/>
      <c r="N66" s="832"/>
      <c r="O66" s="833"/>
      <c r="P66" s="834"/>
    </row>
    <row r="67" spans="1:16" ht="15.6">
      <c r="A67" s="7" t="s">
        <v>56</v>
      </c>
      <c r="B67" s="680" t="s">
        <v>498</v>
      </c>
      <c r="C67" s="681"/>
      <c r="D67" s="681"/>
      <c r="E67" s="681"/>
      <c r="F67" s="681"/>
      <c r="G67" s="681"/>
      <c r="H67" s="681"/>
      <c r="I67" s="681"/>
      <c r="J67" s="681"/>
      <c r="K67" s="682"/>
      <c r="L67" s="693">
        <f>'BASE DE CÁLCULO'!C78</f>
        <v>0.01</v>
      </c>
      <c r="M67" s="723"/>
      <c r="N67" s="832"/>
      <c r="O67" s="833"/>
      <c r="P67" s="834"/>
    </row>
    <row r="68" spans="1:16" ht="15.6">
      <c r="A68" s="7" t="s">
        <v>58</v>
      </c>
      <c r="B68" s="680" t="s">
        <v>499</v>
      </c>
      <c r="C68" s="681"/>
      <c r="D68" s="681"/>
      <c r="E68" s="681"/>
      <c r="F68" s="681"/>
      <c r="G68" s="681"/>
      <c r="H68" s="681"/>
      <c r="I68" s="681"/>
      <c r="J68" s="681"/>
      <c r="K68" s="682"/>
      <c r="L68" s="693">
        <f>'BASE DE CÁLCULO'!C83</f>
        <v>6.0000000000000001E-3</v>
      </c>
      <c r="M68" s="723"/>
      <c r="N68" s="832"/>
      <c r="O68" s="833"/>
      <c r="P68" s="834"/>
    </row>
    <row r="69" spans="1:16" ht="15.6">
      <c r="A69" s="7" t="s">
        <v>60</v>
      </c>
      <c r="B69" s="680" t="s">
        <v>500</v>
      </c>
      <c r="C69" s="681"/>
      <c r="D69" s="681"/>
      <c r="E69" s="681"/>
      <c r="F69" s="681"/>
      <c r="G69" s="681"/>
      <c r="H69" s="681"/>
      <c r="I69" s="681"/>
      <c r="J69" s="681"/>
      <c r="K69" s="682"/>
      <c r="L69" s="693">
        <f>'BASE DE CÁLCULO'!C79</f>
        <v>2E-3</v>
      </c>
      <c r="M69" s="723"/>
      <c r="N69" s="832"/>
      <c r="O69" s="833"/>
      <c r="P69" s="834"/>
    </row>
    <row r="70" spans="1:16" ht="15.6">
      <c r="A70" s="15" t="s">
        <v>62</v>
      </c>
      <c r="B70" s="680" t="s">
        <v>501</v>
      </c>
      <c r="C70" s="681"/>
      <c r="D70" s="681"/>
      <c r="E70" s="681"/>
      <c r="F70" s="681"/>
      <c r="G70" s="681"/>
      <c r="H70" s="681"/>
      <c r="I70" s="681"/>
      <c r="J70" s="681"/>
      <c r="K70" s="682"/>
      <c r="L70" s="693">
        <f>'BASE DE CÁLCULO'!C81</f>
        <v>0.08</v>
      </c>
      <c r="M70" s="723"/>
      <c r="N70" s="832"/>
      <c r="O70" s="833"/>
      <c r="P70" s="834"/>
    </row>
    <row r="71" spans="1:16" ht="15.6">
      <c r="A71" s="633" t="s">
        <v>480</v>
      </c>
      <c r="B71" s="634"/>
      <c r="C71" s="634"/>
      <c r="D71" s="634"/>
      <c r="E71" s="634"/>
      <c r="F71" s="634"/>
      <c r="G71" s="634"/>
      <c r="H71" s="634"/>
      <c r="I71" s="634"/>
      <c r="J71" s="634"/>
      <c r="K71" s="635"/>
      <c r="L71" s="724">
        <f>SUM(L63:M70)</f>
        <v>0.33800000000000002</v>
      </c>
      <c r="M71" s="725"/>
      <c r="N71" s="835"/>
      <c r="O71" s="836"/>
      <c r="P71" s="837"/>
    </row>
    <row r="72" spans="1:16">
      <c r="A72" s="686" t="s">
        <v>502</v>
      </c>
      <c r="B72" s="686"/>
      <c r="C72" s="686"/>
      <c r="D72" s="686"/>
      <c r="E72" s="686"/>
      <c r="F72" s="686"/>
      <c r="G72" s="686"/>
      <c r="H72" s="686"/>
      <c r="I72" s="686"/>
      <c r="J72" s="686"/>
      <c r="K72" s="686"/>
      <c r="L72" s="686"/>
      <c r="M72" s="686"/>
      <c r="N72" s="686"/>
      <c r="O72" s="686"/>
      <c r="P72" s="686"/>
    </row>
    <row r="73" spans="1:16">
      <c r="A73" s="688" t="s">
        <v>503</v>
      </c>
      <c r="B73" s="688"/>
      <c r="C73" s="688"/>
      <c r="D73" s="688"/>
      <c r="E73" s="688"/>
      <c r="F73" s="688"/>
      <c r="G73" s="688"/>
      <c r="H73" s="688"/>
      <c r="I73" s="688"/>
      <c r="J73" s="688"/>
      <c r="K73" s="688"/>
      <c r="L73" s="688"/>
      <c r="M73" s="688"/>
      <c r="N73" s="688"/>
      <c r="O73" s="688"/>
      <c r="P73" s="688"/>
    </row>
    <row r="74" spans="1:16">
      <c r="A74" s="688" t="s">
        <v>504</v>
      </c>
      <c r="B74" s="688"/>
      <c r="C74" s="688"/>
      <c r="D74" s="688"/>
      <c r="E74" s="688"/>
      <c r="F74" s="688"/>
      <c r="G74" s="688"/>
      <c r="H74" s="688"/>
      <c r="I74" s="688"/>
      <c r="J74" s="688"/>
      <c r="K74" s="688"/>
      <c r="L74" s="688"/>
      <c r="M74" s="688"/>
      <c r="N74" s="688"/>
      <c r="O74" s="688"/>
      <c r="P74" s="688"/>
    </row>
    <row r="75" spans="1:16">
      <c r="A75" s="3"/>
      <c r="B75" s="3"/>
      <c r="C75" s="3"/>
      <c r="D75" s="3"/>
      <c r="E75" s="3"/>
      <c r="F75" s="3"/>
      <c r="G75" s="3"/>
      <c r="H75" s="3"/>
      <c r="I75" s="3"/>
      <c r="J75" s="3"/>
      <c r="K75" s="3"/>
      <c r="L75" s="3"/>
      <c r="M75" s="3"/>
      <c r="N75" s="14"/>
      <c r="O75" s="14"/>
      <c r="P75" s="14"/>
    </row>
    <row r="76" spans="1:16" ht="15.6">
      <c r="A76" s="618" t="s">
        <v>505</v>
      </c>
      <c r="B76" s="619"/>
      <c r="C76" s="619"/>
      <c r="D76" s="619"/>
      <c r="E76" s="619"/>
      <c r="F76" s="619"/>
      <c r="G76" s="619"/>
      <c r="H76" s="619"/>
      <c r="I76" s="619"/>
      <c r="J76" s="619"/>
      <c r="K76" s="619"/>
      <c r="L76" s="619"/>
      <c r="M76" s="619"/>
      <c r="N76" s="619"/>
      <c r="O76" s="619"/>
      <c r="P76" s="620"/>
    </row>
    <row r="77" spans="1:16" ht="15.6">
      <c r="A77" s="13" t="s">
        <v>506</v>
      </c>
      <c r="B77" s="618" t="s">
        <v>66</v>
      </c>
      <c r="C77" s="619"/>
      <c r="D77" s="619"/>
      <c r="E77" s="619"/>
      <c r="F77" s="619"/>
      <c r="G77" s="619"/>
      <c r="H77" s="619"/>
      <c r="I77" s="619"/>
      <c r="J77" s="619"/>
      <c r="K77" s="619"/>
      <c r="L77" s="619"/>
      <c r="M77" s="620"/>
      <c r="N77" s="630" t="s">
        <v>51</v>
      </c>
      <c r="O77" s="631"/>
      <c r="P77" s="632"/>
    </row>
    <row r="78" spans="1:16" ht="15.6">
      <c r="A78" s="7" t="s">
        <v>25</v>
      </c>
      <c r="B78" s="680" t="s">
        <v>507</v>
      </c>
      <c r="C78" s="681"/>
      <c r="D78" s="681"/>
      <c r="E78" s="681"/>
      <c r="F78" s="681"/>
      <c r="G78" s="681"/>
      <c r="H78" s="681"/>
      <c r="I78" s="681"/>
      <c r="J78" s="681"/>
      <c r="K78" s="681"/>
      <c r="L78" s="681"/>
      <c r="M78" s="682"/>
      <c r="N78" s="812"/>
      <c r="O78" s="813"/>
      <c r="P78" s="814"/>
    </row>
    <row r="79" spans="1:16" ht="15.6">
      <c r="A79" s="7" t="s">
        <v>27</v>
      </c>
      <c r="B79" s="680" t="s">
        <v>706</v>
      </c>
      <c r="C79" s="681"/>
      <c r="D79" s="681"/>
      <c r="E79" s="681"/>
      <c r="F79" s="681"/>
      <c r="G79" s="681"/>
      <c r="H79" s="681"/>
      <c r="I79" s="681"/>
      <c r="J79" s="681"/>
      <c r="K79" s="681"/>
      <c r="L79" s="681"/>
      <c r="M79" s="682"/>
      <c r="N79" s="812"/>
      <c r="O79" s="813"/>
      <c r="P79" s="814"/>
    </row>
    <row r="80" spans="1:16" ht="15.6">
      <c r="A80" s="7" t="s">
        <v>30</v>
      </c>
      <c r="B80" s="680" t="s">
        <v>508</v>
      </c>
      <c r="C80" s="681"/>
      <c r="D80" s="681"/>
      <c r="E80" s="681"/>
      <c r="F80" s="681"/>
      <c r="G80" s="681"/>
      <c r="H80" s="681"/>
      <c r="I80" s="681"/>
      <c r="J80" s="681"/>
      <c r="K80" s="681"/>
      <c r="L80" s="681"/>
      <c r="M80" s="682"/>
      <c r="N80" s="812"/>
      <c r="O80" s="813"/>
      <c r="P80" s="814"/>
    </row>
    <row r="81" spans="1:16" ht="15.6">
      <c r="A81" s="7" t="s">
        <v>32</v>
      </c>
      <c r="B81" s="680" t="s">
        <v>509</v>
      </c>
      <c r="C81" s="681"/>
      <c r="D81" s="681"/>
      <c r="E81" s="681"/>
      <c r="F81" s="681"/>
      <c r="G81" s="681"/>
      <c r="H81" s="681"/>
      <c r="I81" s="681"/>
      <c r="J81" s="681"/>
      <c r="K81" s="681"/>
      <c r="L81" s="681"/>
      <c r="M81" s="682"/>
      <c r="N81" s="812"/>
      <c r="O81" s="813"/>
      <c r="P81" s="814"/>
    </row>
    <row r="82" spans="1:16" ht="15.6">
      <c r="A82" s="7" t="s">
        <v>56</v>
      </c>
      <c r="B82" s="680" t="s">
        <v>510</v>
      </c>
      <c r="C82" s="681"/>
      <c r="D82" s="681"/>
      <c r="E82" s="681"/>
      <c r="F82" s="681"/>
      <c r="G82" s="681"/>
      <c r="H82" s="681"/>
      <c r="I82" s="681"/>
      <c r="J82" s="681"/>
      <c r="K82" s="681"/>
      <c r="L82" s="681"/>
      <c r="M82" s="682"/>
      <c r="N82" s="812"/>
      <c r="O82" s="813"/>
      <c r="P82" s="814"/>
    </row>
    <row r="83" spans="1:16" ht="15.6">
      <c r="A83" s="7" t="s">
        <v>58</v>
      </c>
      <c r="B83" s="680" t="s">
        <v>511</v>
      </c>
      <c r="C83" s="681"/>
      <c r="D83" s="681"/>
      <c r="E83" s="681"/>
      <c r="F83" s="681"/>
      <c r="G83" s="681"/>
      <c r="H83" s="681"/>
      <c r="I83" s="681"/>
      <c r="J83" s="681"/>
      <c r="K83" s="681"/>
      <c r="L83" s="681"/>
      <c r="M83" s="682"/>
      <c r="N83" s="18"/>
      <c r="O83" s="19"/>
      <c r="P83" s="20"/>
    </row>
    <row r="84" spans="1:16" ht="16.2" customHeight="1">
      <c r="A84" s="7" t="s">
        <v>60</v>
      </c>
      <c r="B84" s="680" t="s">
        <v>334</v>
      </c>
      <c r="C84" s="681"/>
      <c r="D84" s="681"/>
      <c r="E84" s="681"/>
      <c r="F84" s="681"/>
      <c r="G84" s="681"/>
      <c r="H84" s="681"/>
      <c r="I84" s="681"/>
      <c r="J84" s="681"/>
      <c r="K84" s="681"/>
      <c r="L84" s="681"/>
      <c r="M84" s="682"/>
      <c r="N84" s="832"/>
      <c r="O84" s="833"/>
      <c r="P84" s="834"/>
    </row>
    <row r="85" spans="1:16" ht="15.6">
      <c r="A85" s="633" t="s">
        <v>480</v>
      </c>
      <c r="B85" s="634"/>
      <c r="C85" s="634"/>
      <c r="D85" s="634"/>
      <c r="E85" s="634"/>
      <c r="F85" s="634"/>
      <c r="G85" s="634"/>
      <c r="H85" s="634"/>
      <c r="I85" s="634"/>
      <c r="J85" s="634"/>
      <c r="K85" s="634"/>
      <c r="L85" s="634"/>
      <c r="M85" s="635"/>
      <c r="N85" s="809"/>
      <c r="O85" s="810"/>
      <c r="P85" s="811"/>
    </row>
    <row r="86" spans="1:16">
      <c r="A86" s="686" t="s">
        <v>512</v>
      </c>
      <c r="B86" s="686"/>
      <c r="C86" s="686"/>
      <c r="D86" s="686"/>
      <c r="E86" s="686"/>
      <c r="F86" s="686"/>
      <c r="G86" s="686"/>
      <c r="H86" s="686"/>
      <c r="I86" s="686"/>
      <c r="J86" s="686"/>
      <c r="K86" s="686"/>
      <c r="L86" s="686"/>
      <c r="M86" s="686"/>
      <c r="N86" s="686"/>
      <c r="O86" s="686"/>
      <c r="P86" s="686"/>
    </row>
    <row r="87" spans="1:16">
      <c r="A87" s="688" t="s">
        <v>513</v>
      </c>
      <c r="B87" s="688"/>
      <c r="C87" s="688"/>
      <c r="D87" s="688"/>
      <c r="E87" s="688"/>
      <c r="F87" s="688"/>
      <c r="G87" s="688"/>
      <c r="H87" s="688"/>
      <c r="I87" s="688"/>
      <c r="J87" s="688"/>
      <c r="K87" s="688"/>
      <c r="L87" s="688"/>
      <c r="M87" s="688"/>
      <c r="N87" s="688"/>
      <c r="O87" s="688"/>
      <c r="P87" s="688"/>
    </row>
    <row r="88" spans="1:16">
      <c r="A88" s="3"/>
      <c r="B88" s="3"/>
      <c r="C88" s="3"/>
      <c r="D88" s="3"/>
      <c r="E88" s="3"/>
      <c r="F88" s="3"/>
      <c r="G88" s="3"/>
      <c r="H88" s="3"/>
      <c r="I88" s="3"/>
      <c r="J88" s="3"/>
      <c r="K88" s="3"/>
      <c r="L88" s="3"/>
      <c r="M88" s="3"/>
      <c r="N88" s="14"/>
      <c r="O88" s="14"/>
      <c r="P88" s="14"/>
    </row>
    <row r="89" spans="1:16" ht="15.6">
      <c r="A89" s="618" t="s">
        <v>514</v>
      </c>
      <c r="B89" s="628"/>
      <c r="C89" s="628"/>
      <c r="D89" s="628"/>
      <c r="E89" s="628"/>
      <c r="F89" s="628"/>
      <c r="G89" s="628"/>
      <c r="H89" s="628"/>
      <c r="I89" s="628"/>
      <c r="J89" s="628"/>
      <c r="K89" s="628"/>
      <c r="L89" s="628"/>
      <c r="M89" s="628"/>
      <c r="N89" s="619"/>
      <c r="O89" s="619"/>
      <c r="P89" s="620"/>
    </row>
    <row r="90" spans="1:16" ht="15.6">
      <c r="A90" s="11">
        <v>2</v>
      </c>
      <c r="B90" s="709" t="s">
        <v>515</v>
      </c>
      <c r="C90" s="710"/>
      <c r="D90" s="710"/>
      <c r="E90" s="710"/>
      <c r="F90" s="710"/>
      <c r="G90" s="710"/>
      <c r="H90" s="710"/>
      <c r="I90" s="710"/>
      <c r="J90" s="710"/>
      <c r="K90" s="710"/>
      <c r="L90" s="710"/>
      <c r="M90" s="711"/>
      <c r="N90" s="619" t="s">
        <v>51</v>
      </c>
      <c r="O90" s="619"/>
      <c r="P90" s="620"/>
    </row>
    <row r="91" spans="1:16" ht="15.6">
      <c r="A91" s="11" t="s">
        <v>516</v>
      </c>
      <c r="B91" s="712" t="s">
        <v>517</v>
      </c>
      <c r="C91" s="712"/>
      <c r="D91" s="712"/>
      <c r="E91" s="712"/>
      <c r="F91" s="712"/>
      <c r="G91" s="712"/>
      <c r="H91" s="712"/>
      <c r="I91" s="712"/>
      <c r="J91" s="712"/>
      <c r="K91" s="712"/>
      <c r="L91" s="712"/>
      <c r="M91" s="712"/>
      <c r="N91" s="831"/>
      <c r="O91" s="828"/>
      <c r="P91" s="829"/>
    </row>
    <row r="92" spans="1:16" ht="15.6">
      <c r="A92" s="11" t="s">
        <v>491</v>
      </c>
      <c r="B92" s="699" t="s">
        <v>518</v>
      </c>
      <c r="C92" s="700"/>
      <c r="D92" s="700"/>
      <c r="E92" s="700"/>
      <c r="F92" s="700"/>
      <c r="G92" s="700"/>
      <c r="H92" s="700"/>
      <c r="I92" s="700"/>
      <c r="J92" s="700"/>
      <c r="K92" s="700"/>
      <c r="L92" s="700"/>
      <c r="M92" s="701"/>
      <c r="N92" s="828"/>
      <c r="O92" s="828"/>
      <c r="P92" s="829"/>
    </row>
    <row r="93" spans="1:16" ht="15.6">
      <c r="A93" s="9" t="s">
        <v>506</v>
      </c>
      <c r="B93" s="699" t="s">
        <v>519</v>
      </c>
      <c r="C93" s="700"/>
      <c r="D93" s="700"/>
      <c r="E93" s="700"/>
      <c r="F93" s="700"/>
      <c r="G93" s="700"/>
      <c r="H93" s="700"/>
      <c r="I93" s="700"/>
      <c r="J93" s="700"/>
      <c r="K93" s="700"/>
      <c r="L93" s="700"/>
      <c r="M93" s="701"/>
      <c r="N93" s="828"/>
      <c r="O93" s="828"/>
      <c r="P93" s="829"/>
    </row>
    <row r="94" spans="1:16" ht="15.6">
      <c r="A94" s="633" t="s">
        <v>480</v>
      </c>
      <c r="B94" s="702"/>
      <c r="C94" s="702"/>
      <c r="D94" s="702"/>
      <c r="E94" s="702"/>
      <c r="F94" s="702"/>
      <c r="G94" s="702"/>
      <c r="H94" s="702"/>
      <c r="I94" s="702"/>
      <c r="J94" s="702"/>
      <c r="K94" s="702"/>
      <c r="L94" s="702"/>
      <c r="M94" s="703"/>
      <c r="N94" s="824"/>
      <c r="O94" s="825"/>
      <c r="P94" s="826"/>
    </row>
    <row r="95" spans="1:16">
      <c r="A95" s="3"/>
      <c r="B95" s="3"/>
      <c r="C95" s="3"/>
      <c r="D95" s="3"/>
      <c r="E95" s="3"/>
      <c r="F95" s="3"/>
      <c r="G95" s="3"/>
      <c r="H95" s="3"/>
      <c r="I95" s="3"/>
      <c r="J95" s="3"/>
      <c r="K95" s="3"/>
      <c r="L95" s="3"/>
      <c r="M95" s="3"/>
      <c r="N95" s="14"/>
      <c r="O95" s="14"/>
      <c r="P95" s="14"/>
    </row>
    <row r="96" spans="1:16" ht="15.6">
      <c r="A96" s="615" t="s">
        <v>520</v>
      </c>
      <c r="B96" s="616"/>
      <c r="C96" s="616"/>
      <c r="D96" s="616"/>
      <c r="E96" s="616"/>
      <c r="F96" s="616"/>
      <c r="G96" s="616"/>
      <c r="H96" s="616"/>
      <c r="I96" s="616"/>
      <c r="J96" s="616"/>
      <c r="K96" s="616"/>
      <c r="L96" s="616"/>
      <c r="M96" s="616"/>
      <c r="N96" s="616"/>
      <c r="O96" s="616"/>
      <c r="P96" s="617"/>
    </row>
    <row r="97" spans="1:16" ht="15.6">
      <c r="A97" s="13">
        <v>3</v>
      </c>
      <c r="B97" s="618" t="s">
        <v>112</v>
      </c>
      <c r="C97" s="619"/>
      <c r="D97" s="619"/>
      <c r="E97" s="619"/>
      <c r="F97" s="619"/>
      <c r="G97" s="619"/>
      <c r="H97" s="619"/>
      <c r="I97" s="619"/>
      <c r="J97" s="619"/>
      <c r="K97" s="619"/>
      <c r="L97" s="619"/>
      <c r="M97" s="620"/>
      <c r="N97" s="618" t="s">
        <v>51</v>
      </c>
      <c r="O97" s="619"/>
      <c r="P97" s="620"/>
    </row>
    <row r="98" spans="1:16" ht="15.6">
      <c r="A98" s="7" t="s">
        <v>25</v>
      </c>
      <c r="B98" s="680" t="s">
        <v>521</v>
      </c>
      <c r="C98" s="681"/>
      <c r="D98" s="681"/>
      <c r="E98" s="681"/>
      <c r="F98" s="681"/>
      <c r="G98" s="681"/>
      <c r="H98" s="681"/>
      <c r="I98" s="681"/>
      <c r="J98" s="681"/>
      <c r="K98" s="681"/>
      <c r="L98" s="681"/>
      <c r="M98" s="682"/>
      <c r="N98" s="827"/>
      <c r="O98" s="828"/>
      <c r="P98" s="829"/>
    </row>
    <row r="99" spans="1:16" ht="15.6">
      <c r="A99" s="7" t="s">
        <v>27</v>
      </c>
      <c r="B99" s="680" t="s">
        <v>522</v>
      </c>
      <c r="C99" s="681"/>
      <c r="D99" s="681"/>
      <c r="E99" s="681"/>
      <c r="F99" s="681"/>
      <c r="G99" s="681"/>
      <c r="H99" s="681"/>
      <c r="I99" s="681"/>
      <c r="J99" s="681"/>
      <c r="K99" s="681"/>
      <c r="L99" s="681"/>
      <c r="M99" s="682"/>
      <c r="N99" s="827"/>
      <c r="O99" s="828"/>
      <c r="P99" s="829"/>
    </row>
    <row r="100" spans="1:16" ht="15.6">
      <c r="A100" s="7" t="s">
        <v>30</v>
      </c>
      <c r="B100" s="680" t="s">
        <v>523</v>
      </c>
      <c r="C100" s="681"/>
      <c r="D100" s="681"/>
      <c r="E100" s="681"/>
      <c r="F100" s="681"/>
      <c r="G100" s="681"/>
      <c r="H100" s="681"/>
      <c r="I100" s="681"/>
      <c r="J100" s="681"/>
      <c r="K100" s="681"/>
      <c r="L100" s="681"/>
      <c r="M100" s="682"/>
      <c r="N100" s="827"/>
      <c r="O100" s="828"/>
      <c r="P100" s="829"/>
    </row>
    <row r="101" spans="1:16" ht="15.6">
      <c r="A101" s="7" t="s">
        <v>32</v>
      </c>
      <c r="B101" s="680" t="s">
        <v>524</v>
      </c>
      <c r="C101" s="681"/>
      <c r="D101" s="681"/>
      <c r="E101" s="681"/>
      <c r="F101" s="681"/>
      <c r="G101" s="681"/>
      <c r="H101" s="681"/>
      <c r="I101" s="681"/>
      <c r="J101" s="681"/>
      <c r="K101" s="681"/>
      <c r="L101" s="681"/>
      <c r="M101" s="682"/>
      <c r="N101" s="827"/>
      <c r="O101" s="828"/>
      <c r="P101" s="829"/>
    </row>
    <row r="102" spans="1:16" ht="15.6">
      <c r="A102" s="7" t="s">
        <v>56</v>
      </c>
      <c r="B102" s="680" t="s">
        <v>525</v>
      </c>
      <c r="C102" s="681"/>
      <c r="D102" s="681"/>
      <c r="E102" s="681"/>
      <c r="F102" s="681"/>
      <c r="G102" s="681"/>
      <c r="H102" s="681"/>
      <c r="I102" s="681"/>
      <c r="J102" s="681"/>
      <c r="K102" s="681"/>
      <c r="L102" s="681"/>
      <c r="M102" s="682"/>
      <c r="N102" s="827"/>
      <c r="O102" s="828"/>
      <c r="P102" s="829"/>
    </row>
    <row r="103" spans="1:16" ht="15.6">
      <c r="A103" s="15" t="s">
        <v>58</v>
      </c>
      <c r="B103" s="680" t="s">
        <v>526</v>
      </c>
      <c r="C103" s="681"/>
      <c r="D103" s="681"/>
      <c r="E103" s="681"/>
      <c r="F103" s="681"/>
      <c r="G103" s="681"/>
      <c r="H103" s="681"/>
      <c r="I103" s="681"/>
      <c r="J103" s="681"/>
      <c r="K103" s="681"/>
      <c r="L103" s="681"/>
      <c r="M103" s="682"/>
      <c r="N103" s="827"/>
      <c r="O103" s="828"/>
      <c r="P103" s="829"/>
    </row>
    <row r="104" spans="1:16" ht="15.6">
      <c r="A104" s="633" t="s">
        <v>480</v>
      </c>
      <c r="B104" s="634"/>
      <c r="C104" s="634"/>
      <c r="D104" s="634"/>
      <c r="E104" s="634"/>
      <c r="F104" s="634"/>
      <c r="G104" s="634"/>
      <c r="H104" s="634"/>
      <c r="I104" s="634"/>
      <c r="J104" s="634"/>
      <c r="K104" s="634"/>
      <c r="L104" s="634"/>
      <c r="M104" s="635"/>
      <c r="N104" s="824"/>
      <c r="O104" s="825"/>
      <c r="P104" s="826"/>
    </row>
    <row r="105" spans="1:16">
      <c r="A105" s="3"/>
      <c r="B105" s="3"/>
      <c r="C105" s="3"/>
      <c r="D105" s="3"/>
      <c r="E105" s="3"/>
      <c r="F105" s="3"/>
      <c r="G105" s="3"/>
      <c r="H105" s="3"/>
      <c r="I105" s="3"/>
      <c r="J105" s="3"/>
      <c r="K105" s="3"/>
      <c r="L105" s="3"/>
      <c r="M105" s="3"/>
      <c r="N105" s="14"/>
      <c r="O105" s="14"/>
      <c r="P105" s="14"/>
    </row>
    <row r="106" spans="1:16" ht="15.6">
      <c r="A106" s="618" t="s">
        <v>527</v>
      </c>
      <c r="B106" s="619"/>
      <c r="C106" s="619"/>
      <c r="D106" s="619"/>
      <c r="E106" s="619"/>
      <c r="F106" s="619"/>
      <c r="G106" s="619"/>
      <c r="H106" s="619"/>
      <c r="I106" s="619"/>
      <c r="J106" s="619"/>
      <c r="K106" s="619"/>
      <c r="L106" s="619"/>
      <c r="M106" s="619"/>
      <c r="N106" s="619"/>
      <c r="O106" s="619"/>
      <c r="P106" s="620"/>
    </row>
    <row r="107" spans="1:16">
      <c r="A107" s="16"/>
      <c r="B107" s="3"/>
      <c r="C107" s="3"/>
      <c r="D107" s="3"/>
      <c r="E107" s="3"/>
      <c r="F107" s="3"/>
      <c r="G107" s="3"/>
      <c r="H107" s="3"/>
      <c r="I107" s="3"/>
      <c r="J107" s="3"/>
      <c r="K107" s="3"/>
      <c r="L107" s="3"/>
      <c r="M107" s="3"/>
      <c r="N107" s="14"/>
      <c r="O107" s="14"/>
      <c r="P107" s="14"/>
    </row>
    <row r="108" spans="1:16" ht="15.6">
      <c r="A108" s="830" t="s">
        <v>707</v>
      </c>
      <c r="B108" s="830"/>
      <c r="C108" s="830"/>
      <c r="D108" s="830"/>
      <c r="E108" s="830"/>
      <c r="F108" s="830"/>
      <c r="G108" s="830"/>
      <c r="H108" s="830"/>
      <c r="I108" s="830"/>
      <c r="J108" s="830"/>
      <c r="K108" s="830"/>
      <c r="L108" s="830"/>
      <c r="M108" s="830"/>
      <c r="N108" s="830"/>
      <c r="O108" s="830"/>
      <c r="P108" s="830"/>
    </row>
    <row r="109" spans="1:16" ht="15.6">
      <c r="A109" s="830" t="s">
        <v>708</v>
      </c>
      <c r="B109" s="830"/>
      <c r="C109" s="830"/>
      <c r="D109" s="830"/>
      <c r="E109" s="830"/>
      <c r="F109" s="830"/>
      <c r="G109" s="830"/>
      <c r="H109" s="830"/>
      <c r="I109" s="830"/>
      <c r="J109" s="830"/>
      <c r="K109" s="830"/>
      <c r="L109" s="830"/>
      <c r="M109" s="830"/>
      <c r="N109" s="830"/>
      <c r="O109" s="830"/>
      <c r="P109" s="830"/>
    </row>
    <row r="110" spans="1:16">
      <c r="A110" s="4"/>
      <c r="B110" s="3"/>
      <c r="C110" s="3"/>
      <c r="D110" s="3"/>
      <c r="E110" s="3"/>
      <c r="F110" s="3"/>
      <c r="G110" s="3"/>
      <c r="H110" s="3"/>
      <c r="I110" s="3"/>
      <c r="J110" s="3"/>
      <c r="K110" s="3"/>
      <c r="L110" s="3"/>
      <c r="M110" s="3"/>
      <c r="N110" s="14"/>
      <c r="O110" s="14"/>
      <c r="P110" s="14"/>
    </row>
    <row r="111" spans="1:16" ht="16.5" customHeight="1">
      <c r="A111" s="618" t="s">
        <v>530</v>
      </c>
      <c r="B111" s="619"/>
      <c r="C111" s="619"/>
      <c r="D111" s="619"/>
      <c r="E111" s="619"/>
      <c r="F111" s="619"/>
      <c r="G111" s="619"/>
      <c r="H111" s="619"/>
      <c r="I111" s="619"/>
      <c r="J111" s="619"/>
      <c r="K111" s="619"/>
      <c r="L111" s="619"/>
      <c r="M111" s="619"/>
      <c r="N111" s="619"/>
      <c r="O111" s="619"/>
      <c r="P111" s="620"/>
    </row>
    <row r="112" spans="1:16" ht="16.5" customHeight="1">
      <c r="A112" s="13" t="s">
        <v>85</v>
      </c>
      <c r="B112" s="618" t="s">
        <v>531</v>
      </c>
      <c r="C112" s="619"/>
      <c r="D112" s="619"/>
      <c r="E112" s="619"/>
      <c r="F112" s="619"/>
      <c r="G112" s="619"/>
      <c r="H112" s="619"/>
      <c r="I112" s="619"/>
      <c r="J112" s="619"/>
      <c r="K112" s="619"/>
      <c r="L112" s="619"/>
      <c r="M112" s="620"/>
      <c r="N112" s="618" t="s">
        <v>51</v>
      </c>
      <c r="O112" s="619"/>
      <c r="P112" s="620"/>
    </row>
    <row r="113" spans="1:16" ht="15.6">
      <c r="A113" s="7" t="s">
        <v>25</v>
      </c>
      <c r="B113" s="680" t="s">
        <v>532</v>
      </c>
      <c r="C113" s="681"/>
      <c r="D113" s="681"/>
      <c r="E113" s="681"/>
      <c r="F113" s="681"/>
      <c r="G113" s="681"/>
      <c r="H113" s="681"/>
      <c r="I113" s="681"/>
      <c r="J113" s="681"/>
      <c r="K113" s="681"/>
      <c r="L113" s="681"/>
      <c r="M113" s="682"/>
      <c r="N113" s="827"/>
      <c r="O113" s="828"/>
      <c r="P113" s="829"/>
    </row>
    <row r="114" spans="1:16" ht="16.5" customHeight="1">
      <c r="A114" s="7" t="s">
        <v>27</v>
      </c>
      <c r="B114" s="680" t="s">
        <v>533</v>
      </c>
      <c r="C114" s="681"/>
      <c r="D114" s="681"/>
      <c r="E114" s="681"/>
      <c r="F114" s="681"/>
      <c r="G114" s="681"/>
      <c r="H114" s="681"/>
      <c r="I114" s="681"/>
      <c r="J114" s="681"/>
      <c r="K114" s="681"/>
      <c r="L114" s="681"/>
      <c r="M114" s="682"/>
      <c r="N114" s="827"/>
      <c r="O114" s="828"/>
      <c r="P114" s="829"/>
    </row>
    <row r="115" spans="1:16" ht="15.6">
      <c r="A115" s="7" t="s">
        <v>30</v>
      </c>
      <c r="B115" s="680" t="s">
        <v>709</v>
      </c>
      <c r="C115" s="681"/>
      <c r="D115" s="681"/>
      <c r="E115" s="681"/>
      <c r="F115" s="681"/>
      <c r="G115" s="681"/>
      <c r="H115" s="681"/>
      <c r="I115" s="681"/>
      <c r="J115" s="681"/>
      <c r="K115" s="681"/>
      <c r="L115" s="681"/>
      <c r="M115" s="682"/>
      <c r="N115" s="827"/>
      <c r="O115" s="828"/>
      <c r="P115" s="829"/>
    </row>
    <row r="116" spans="1:16" ht="16.5" customHeight="1">
      <c r="A116" s="7" t="s">
        <v>32</v>
      </c>
      <c r="B116" s="680" t="s">
        <v>710</v>
      </c>
      <c r="C116" s="681"/>
      <c r="D116" s="681"/>
      <c r="E116" s="681"/>
      <c r="F116" s="681"/>
      <c r="G116" s="681"/>
      <c r="H116" s="681"/>
      <c r="I116" s="681"/>
      <c r="J116" s="681"/>
      <c r="K116" s="681"/>
      <c r="L116" s="681"/>
      <c r="M116" s="682"/>
      <c r="N116" s="827"/>
      <c r="O116" s="828"/>
      <c r="P116" s="829"/>
    </row>
    <row r="117" spans="1:16" ht="16.5" customHeight="1">
      <c r="A117" s="7" t="s">
        <v>56</v>
      </c>
      <c r="B117" s="680" t="s">
        <v>535</v>
      </c>
      <c r="C117" s="681"/>
      <c r="D117" s="681"/>
      <c r="E117" s="681"/>
      <c r="F117" s="681"/>
      <c r="G117" s="681"/>
      <c r="H117" s="681"/>
      <c r="I117" s="681"/>
      <c r="J117" s="681"/>
      <c r="K117" s="681"/>
      <c r="L117" s="681"/>
      <c r="M117" s="682"/>
      <c r="N117" s="827"/>
      <c r="O117" s="828"/>
      <c r="P117" s="829"/>
    </row>
    <row r="118" spans="1:16" ht="16.5" customHeight="1">
      <c r="A118" s="7" t="s">
        <v>58</v>
      </c>
      <c r="B118" s="680" t="s">
        <v>107</v>
      </c>
      <c r="C118" s="681"/>
      <c r="D118" s="681"/>
      <c r="E118" s="681"/>
      <c r="F118" s="681"/>
      <c r="G118" s="681"/>
      <c r="H118" s="681"/>
      <c r="I118" s="681"/>
      <c r="J118" s="681"/>
      <c r="K118" s="681"/>
      <c r="L118" s="681"/>
      <c r="M118" s="682"/>
      <c r="N118" s="827"/>
      <c r="O118" s="828"/>
      <c r="P118" s="829"/>
    </row>
    <row r="119" spans="1:16" ht="16.5" customHeight="1">
      <c r="A119" s="7" t="s">
        <v>60</v>
      </c>
      <c r="B119" s="680" t="s">
        <v>536</v>
      </c>
      <c r="C119" s="681"/>
      <c r="D119" s="681"/>
      <c r="E119" s="681"/>
      <c r="F119" s="681"/>
      <c r="G119" s="681"/>
      <c r="H119" s="681"/>
      <c r="I119" s="681"/>
      <c r="J119" s="681"/>
      <c r="K119" s="681"/>
      <c r="L119" s="681"/>
      <c r="M119" s="682"/>
      <c r="N119" s="827"/>
      <c r="O119" s="828"/>
      <c r="P119" s="829"/>
    </row>
    <row r="120" spans="1:16" ht="15.6">
      <c r="A120" s="633" t="s">
        <v>480</v>
      </c>
      <c r="B120" s="634"/>
      <c r="C120" s="634"/>
      <c r="D120" s="634"/>
      <c r="E120" s="634"/>
      <c r="F120" s="634"/>
      <c r="G120" s="634"/>
      <c r="H120" s="634"/>
      <c r="I120" s="634"/>
      <c r="J120" s="634"/>
      <c r="K120" s="634"/>
      <c r="L120" s="634"/>
      <c r="M120" s="635"/>
      <c r="N120" s="824"/>
      <c r="O120" s="825"/>
      <c r="P120" s="826"/>
    </row>
    <row r="121" spans="1:16">
      <c r="A121" s="8"/>
      <c r="B121" s="3"/>
      <c r="C121" s="3"/>
      <c r="D121" s="3"/>
      <c r="E121" s="3"/>
      <c r="F121" s="3"/>
      <c r="G121" s="3"/>
      <c r="H121" s="3"/>
      <c r="I121" s="3"/>
      <c r="J121" s="3"/>
      <c r="K121" s="3"/>
      <c r="L121" s="3"/>
      <c r="M121" s="3"/>
      <c r="N121" s="14"/>
      <c r="O121" s="14"/>
      <c r="P121" s="14"/>
    </row>
    <row r="122" spans="1:16" ht="22.5" customHeight="1">
      <c r="A122" s="688" t="s">
        <v>537</v>
      </c>
      <c r="B122" s="688"/>
      <c r="C122" s="688"/>
      <c r="D122" s="688"/>
      <c r="E122" s="688"/>
      <c r="F122" s="688"/>
      <c r="G122" s="688"/>
      <c r="H122" s="688"/>
      <c r="I122" s="688"/>
      <c r="J122" s="688"/>
      <c r="K122" s="688"/>
      <c r="L122" s="688"/>
      <c r="M122" s="688"/>
      <c r="N122" s="688"/>
      <c r="O122" s="688"/>
      <c r="P122" s="688"/>
    </row>
    <row r="123" spans="1:16" ht="10.5" customHeight="1">
      <c r="A123" s="17"/>
      <c r="B123" s="3"/>
      <c r="C123" s="3"/>
      <c r="D123" s="3"/>
      <c r="E123" s="3"/>
      <c r="F123" s="3"/>
      <c r="G123" s="3"/>
      <c r="H123" s="3"/>
      <c r="I123" s="3"/>
      <c r="J123" s="3"/>
      <c r="K123" s="3"/>
      <c r="L123" s="3"/>
      <c r="M123" s="3"/>
      <c r="N123" s="14"/>
      <c r="O123" s="14"/>
      <c r="P123" s="14"/>
    </row>
    <row r="124" spans="1:16" ht="15.6">
      <c r="A124" s="618" t="s">
        <v>538</v>
      </c>
      <c r="B124" s="619"/>
      <c r="C124" s="619"/>
      <c r="D124" s="619"/>
      <c r="E124" s="619"/>
      <c r="F124" s="619"/>
      <c r="G124" s="619"/>
      <c r="H124" s="619"/>
      <c r="I124" s="619"/>
      <c r="J124" s="619"/>
      <c r="K124" s="619"/>
      <c r="L124" s="619"/>
      <c r="M124" s="619"/>
      <c r="N124" s="619"/>
      <c r="O124" s="619"/>
      <c r="P124" s="620"/>
    </row>
    <row r="125" spans="1:16" ht="15.6">
      <c r="A125" s="13" t="s">
        <v>99</v>
      </c>
      <c r="B125" s="618" t="s">
        <v>539</v>
      </c>
      <c r="C125" s="619"/>
      <c r="D125" s="619"/>
      <c r="E125" s="619"/>
      <c r="F125" s="619"/>
      <c r="G125" s="619"/>
      <c r="H125" s="619"/>
      <c r="I125" s="619"/>
      <c r="J125" s="619"/>
      <c r="K125" s="619"/>
      <c r="L125" s="619"/>
      <c r="M125" s="620"/>
      <c r="N125" s="618" t="s">
        <v>51</v>
      </c>
      <c r="O125" s="619"/>
      <c r="P125" s="620"/>
    </row>
    <row r="126" spans="1:16" ht="15.6">
      <c r="A126" s="7" t="s">
        <v>25</v>
      </c>
      <c r="B126" s="624" t="s">
        <v>711</v>
      </c>
      <c r="C126" s="625"/>
      <c r="D126" s="625"/>
      <c r="E126" s="625"/>
      <c r="F126" s="625"/>
      <c r="G126" s="625"/>
      <c r="H126" s="625"/>
      <c r="I126" s="625"/>
      <c r="J126" s="625"/>
      <c r="K126" s="625"/>
      <c r="L126" s="625"/>
      <c r="M126" s="626"/>
      <c r="N126" s="827"/>
      <c r="O126" s="828"/>
      <c r="P126" s="829"/>
    </row>
    <row r="127" spans="1:16" ht="15.6">
      <c r="A127" s="633" t="s">
        <v>480</v>
      </c>
      <c r="B127" s="634"/>
      <c r="C127" s="634"/>
      <c r="D127" s="634"/>
      <c r="E127" s="634"/>
      <c r="F127" s="634"/>
      <c r="G127" s="634"/>
      <c r="H127" s="634"/>
      <c r="I127" s="634"/>
      <c r="J127" s="634"/>
      <c r="K127" s="634"/>
      <c r="L127" s="634"/>
      <c r="M127" s="635"/>
      <c r="N127" s="824"/>
      <c r="O127" s="825"/>
      <c r="P127" s="826"/>
    </row>
    <row r="128" spans="1:16" ht="14.25" customHeight="1">
      <c r="A128" s="686" t="s">
        <v>541</v>
      </c>
      <c r="B128" s="686"/>
      <c r="C128" s="686"/>
      <c r="D128" s="686"/>
      <c r="E128" s="686"/>
      <c r="F128" s="686"/>
      <c r="G128" s="686"/>
      <c r="H128" s="686"/>
      <c r="I128" s="686"/>
      <c r="J128" s="686"/>
      <c r="K128" s="686"/>
      <c r="L128" s="686"/>
      <c r="M128" s="686"/>
      <c r="N128" s="686"/>
      <c r="O128" s="686"/>
      <c r="P128" s="686"/>
    </row>
    <row r="129" spans="1:16">
      <c r="A129" s="4"/>
      <c r="B129" s="3"/>
      <c r="C129" s="3"/>
      <c r="D129" s="3"/>
      <c r="E129" s="3"/>
      <c r="F129" s="3"/>
      <c r="G129" s="3"/>
      <c r="H129" s="3"/>
      <c r="I129" s="3"/>
      <c r="J129" s="3"/>
      <c r="K129" s="3"/>
      <c r="L129" s="3"/>
      <c r="M129" s="3"/>
      <c r="N129" s="14"/>
      <c r="O129" s="14"/>
      <c r="P129" s="14"/>
    </row>
    <row r="130" spans="1:16" ht="15.6">
      <c r="A130" s="618" t="s">
        <v>542</v>
      </c>
      <c r="B130" s="619"/>
      <c r="C130" s="619"/>
      <c r="D130" s="619"/>
      <c r="E130" s="619"/>
      <c r="F130" s="619"/>
      <c r="G130" s="619"/>
      <c r="H130" s="619"/>
      <c r="I130" s="619"/>
      <c r="J130" s="619"/>
      <c r="K130" s="619"/>
      <c r="L130" s="619"/>
      <c r="M130" s="619"/>
      <c r="N130" s="619"/>
      <c r="O130" s="619"/>
      <c r="P130" s="620"/>
    </row>
    <row r="131" spans="1:16" ht="15.6">
      <c r="A131" s="13">
        <v>4</v>
      </c>
      <c r="B131" s="618" t="s">
        <v>543</v>
      </c>
      <c r="C131" s="619"/>
      <c r="D131" s="619"/>
      <c r="E131" s="619"/>
      <c r="F131" s="619"/>
      <c r="G131" s="619"/>
      <c r="H131" s="619"/>
      <c r="I131" s="619"/>
      <c r="J131" s="619"/>
      <c r="K131" s="619"/>
      <c r="L131" s="619"/>
      <c r="M131" s="620"/>
      <c r="N131" s="618" t="s">
        <v>51</v>
      </c>
      <c r="O131" s="619"/>
      <c r="P131" s="620"/>
    </row>
    <row r="132" spans="1:16" ht="15.6">
      <c r="A132" s="13" t="s">
        <v>85</v>
      </c>
      <c r="B132" s="680" t="s">
        <v>533</v>
      </c>
      <c r="C132" s="681"/>
      <c r="D132" s="681"/>
      <c r="E132" s="681"/>
      <c r="F132" s="681"/>
      <c r="G132" s="681"/>
      <c r="H132" s="681"/>
      <c r="I132" s="681"/>
      <c r="J132" s="681"/>
      <c r="K132" s="681"/>
      <c r="L132" s="681"/>
      <c r="M132" s="682"/>
      <c r="N132" s="827"/>
      <c r="O132" s="828"/>
      <c r="P132" s="829"/>
    </row>
    <row r="133" spans="1:16" ht="15.6">
      <c r="A133" s="21" t="s">
        <v>99</v>
      </c>
      <c r="B133" s="680" t="s">
        <v>544</v>
      </c>
      <c r="C133" s="681"/>
      <c r="D133" s="681"/>
      <c r="E133" s="681"/>
      <c r="F133" s="681"/>
      <c r="G133" s="681"/>
      <c r="H133" s="681"/>
      <c r="I133" s="681"/>
      <c r="J133" s="681"/>
      <c r="K133" s="681"/>
      <c r="L133" s="681"/>
      <c r="M133" s="682"/>
      <c r="N133" s="827"/>
      <c r="O133" s="828"/>
      <c r="P133" s="829"/>
    </row>
    <row r="134" spans="1:16" ht="15.6">
      <c r="A134" s="633" t="s">
        <v>480</v>
      </c>
      <c r="B134" s="634"/>
      <c r="C134" s="634"/>
      <c r="D134" s="634"/>
      <c r="E134" s="634"/>
      <c r="F134" s="634"/>
      <c r="G134" s="634"/>
      <c r="H134" s="634"/>
      <c r="I134" s="634"/>
      <c r="J134" s="634"/>
      <c r="K134" s="634"/>
      <c r="L134" s="634"/>
      <c r="M134" s="635"/>
      <c r="N134" s="824"/>
      <c r="O134" s="825"/>
      <c r="P134" s="826"/>
    </row>
    <row r="135" spans="1:16" ht="15.6">
      <c r="A135" s="22"/>
      <c r="B135" s="3"/>
      <c r="C135" s="3"/>
      <c r="D135" s="3"/>
      <c r="E135" s="3"/>
      <c r="F135" s="3"/>
      <c r="G135" s="3"/>
      <c r="H135" s="3"/>
      <c r="I135" s="3"/>
      <c r="J135" s="3"/>
      <c r="K135" s="3"/>
      <c r="L135" s="3"/>
      <c r="M135" s="3"/>
      <c r="N135" s="14"/>
      <c r="O135" s="14"/>
      <c r="P135" s="14"/>
    </row>
    <row r="136" spans="1:16" ht="15.6">
      <c r="A136" s="618" t="s">
        <v>545</v>
      </c>
      <c r="B136" s="619"/>
      <c r="C136" s="619"/>
      <c r="D136" s="619"/>
      <c r="E136" s="619"/>
      <c r="F136" s="619"/>
      <c r="G136" s="619"/>
      <c r="H136" s="619"/>
      <c r="I136" s="619"/>
      <c r="J136" s="619"/>
      <c r="K136" s="619"/>
      <c r="L136" s="619"/>
      <c r="M136" s="619"/>
      <c r="N136" s="619"/>
      <c r="O136" s="619"/>
      <c r="P136" s="620"/>
    </row>
    <row r="137" spans="1:16" ht="15.6">
      <c r="A137" s="13">
        <v>5</v>
      </c>
      <c r="B137" s="618" t="s">
        <v>77</v>
      </c>
      <c r="C137" s="619"/>
      <c r="D137" s="619"/>
      <c r="E137" s="619"/>
      <c r="F137" s="619"/>
      <c r="G137" s="619"/>
      <c r="H137" s="619"/>
      <c r="I137" s="619"/>
      <c r="J137" s="619"/>
      <c r="K137" s="619"/>
      <c r="L137" s="619"/>
      <c r="M137" s="620"/>
      <c r="N137" s="618" t="s">
        <v>51</v>
      </c>
      <c r="O137" s="619"/>
      <c r="P137" s="620"/>
    </row>
    <row r="138" spans="1:16" ht="15.6">
      <c r="A138" s="7" t="s">
        <v>25</v>
      </c>
      <c r="B138" s="680" t="s">
        <v>712</v>
      </c>
      <c r="C138" s="681"/>
      <c r="D138" s="681"/>
      <c r="E138" s="681"/>
      <c r="F138" s="681"/>
      <c r="G138" s="681"/>
      <c r="H138" s="681"/>
      <c r="I138" s="681"/>
      <c r="J138" s="681"/>
      <c r="K138" s="681"/>
      <c r="L138" s="681"/>
      <c r="M138" s="682"/>
      <c r="N138" s="827"/>
      <c r="O138" s="828"/>
      <c r="P138" s="829"/>
    </row>
    <row r="139" spans="1:16" ht="15.6">
      <c r="A139" s="7" t="s">
        <v>27</v>
      </c>
      <c r="B139" s="680" t="s">
        <v>713</v>
      </c>
      <c r="C139" s="681"/>
      <c r="D139" s="681"/>
      <c r="E139" s="681"/>
      <c r="F139" s="681"/>
      <c r="G139" s="681"/>
      <c r="H139" s="681"/>
      <c r="I139" s="681"/>
      <c r="J139" s="681"/>
      <c r="K139" s="681"/>
      <c r="L139" s="681"/>
      <c r="M139" s="682"/>
      <c r="N139" s="827"/>
      <c r="O139" s="828"/>
      <c r="P139" s="829"/>
    </row>
    <row r="140" spans="1:16" ht="15.6">
      <c r="A140" s="15" t="s">
        <v>30</v>
      </c>
      <c r="B140" s="680" t="s">
        <v>479</v>
      </c>
      <c r="C140" s="681"/>
      <c r="D140" s="681"/>
      <c r="E140" s="681"/>
      <c r="F140" s="681"/>
      <c r="G140" s="681"/>
      <c r="H140" s="681"/>
      <c r="I140" s="681"/>
      <c r="J140" s="681"/>
      <c r="K140" s="681"/>
      <c r="L140" s="681"/>
      <c r="M140" s="682"/>
      <c r="N140" s="827"/>
      <c r="O140" s="828"/>
      <c r="P140" s="829"/>
    </row>
    <row r="141" spans="1:16" ht="15.6">
      <c r="A141" s="633" t="s">
        <v>480</v>
      </c>
      <c r="B141" s="634"/>
      <c r="C141" s="634"/>
      <c r="D141" s="634"/>
      <c r="E141" s="634"/>
      <c r="F141" s="634"/>
      <c r="G141" s="634"/>
      <c r="H141" s="634"/>
      <c r="I141" s="634"/>
      <c r="J141" s="634"/>
      <c r="K141" s="634"/>
      <c r="L141" s="634"/>
      <c r="M141" s="635"/>
      <c r="N141" s="824"/>
      <c r="O141" s="825"/>
      <c r="P141" s="826"/>
    </row>
    <row r="142" spans="1:16">
      <c r="A142" s="686" t="s">
        <v>548</v>
      </c>
      <c r="B142" s="686"/>
      <c r="C142" s="686"/>
      <c r="D142" s="686"/>
      <c r="E142" s="686"/>
      <c r="F142" s="686"/>
      <c r="G142" s="686"/>
      <c r="H142" s="686"/>
      <c r="I142" s="686"/>
      <c r="J142" s="686"/>
      <c r="K142" s="686"/>
      <c r="L142" s="686"/>
      <c r="M142" s="686"/>
      <c r="N142" s="686"/>
      <c r="O142" s="686"/>
      <c r="P142" s="686"/>
    </row>
    <row r="143" spans="1:16">
      <c r="A143" s="4"/>
      <c r="B143" s="3"/>
      <c r="C143" s="3"/>
      <c r="D143" s="3"/>
      <c r="E143" s="3"/>
      <c r="F143" s="3"/>
      <c r="G143" s="3"/>
      <c r="H143" s="3"/>
      <c r="I143" s="3"/>
      <c r="J143" s="3"/>
      <c r="K143" s="3"/>
      <c r="L143" s="3"/>
      <c r="M143" s="3"/>
      <c r="N143" s="14"/>
      <c r="O143" s="14"/>
      <c r="P143" s="14"/>
    </row>
    <row r="144" spans="1:16" ht="16.5" customHeight="1">
      <c r="A144" s="618" t="s">
        <v>549</v>
      </c>
      <c r="B144" s="619"/>
      <c r="C144" s="619"/>
      <c r="D144" s="619"/>
      <c r="E144" s="619"/>
      <c r="F144" s="619"/>
      <c r="G144" s="619"/>
      <c r="H144" s="619"/>
      <c r="I144" s="619"/>
      <c r="J144" s="619"/>
      <c r="K144" s="619"/>
      <c r="L144" s="619"/>
      <c r="M144" s="619"/>
      <c r="N144" s="619"/>
      <c r="O144" s="619"/>
      <c r="P144" s="620"/>
    </row>
    <row r="145" spans="1:17" ht="16.5" customHeight="1">
      <c r="A145" s="13">
        <v>6</v>
      </c>
      <c r="B145" s="618" t="s">
        <v>137</v>
      </c>
      <c r="C145" s="619"/>
      <c r="D145" s="619"/>
      <c r="E145" s="619"/>
      <c r="F145" s="619"/>
      <c r="G145" s="619"/>
      <c r="H145" s="619"/>
      <c r="I145" s="619"/>
      <c r="J145" s="619"/>
      <c r="K145" s="620"/>
      <c r="L145" s="618" t="s">
        <v>493</v>
      </c>
      <c r="M145" s="620"/>
      <c r="N145" s="618" t="s">
        <v>51</v>
      </c>
      <c r="O145" s="619"/>
      <c r="P145" s="620"/>
    </row>
    <row r="146" spans="1:17" ht="16.5" customHeight="1">
      <c r="A146" s="7" t="s">
        <v>25</v>
      </c>
      <c r="B146" s="680" t="s">
        <v>550</v>
      </c>
      <c r="C146" s="681"/>
      <c r="D146" s="681"/>
      <c r="E146" s="681"/>
      <c r="F146" s="681"/>
      <c r="G146" s="681"/>
      <c r="H146" s="681"/>
      <c r="I146" s="681"/>
      <c r="J146" s="681"/>
      <c r="K146" s="682"/>
      <c r="L146" s="693"/>
      <c r="M146" s="626"/>
      <c r="N146" s="827"/>
      <c r="O146" s="828"/>
      <c r="P146" s="829"/>
    </row>
    <row r="147" spans="1:17" ht="15.6">
      <c r="A147" s="7" t="s">
        <v>27</v>
      </c>
      <c r="B147" s="680" t="s">
        <v>551</v>
      </c>
      <c r="C147" s="681"/>
      <c r="D147" s="681"/>
      <c r="E147" s="681"/>
      <c r="F147" s="681"/>
      <c r="G147" s="681"/>
      <c r="H147" s="681"/>
      <c r="I147" s="681"/>
      <c r="J147" s="681"/>
      <c r="K147" s="682"/>
      <c r="L147" s="693"/>
      <c r="M147" s="626"/>
      <c r="N147" s="827"/>
      <c r="O147" s="828"/>
      <c r="P147" s="829"/>
    </row>
    <row r="148" spans="1:17" ht="16.5" customHeight="1">
      <c r="A148" s="7" t="s">
        <v>30</v>
      </c>
      <c r="B148" s="633" t="s">
        <v>552</v>
      </c>
      <c r="C148" s="634"/>
      <c r="D148" s="634"/>
      <c r="E148" s="634"/>
      <c r="F148" s="634"/>
      <c r="G148" s="634"/>
      <c r="H148" s="634"/>
      <c r="I148" s="634"/>
      <c r="J148" s="634"/>
      <c r="K148" s="635"/>
      <c r="L148" s="694"/>
      <c r="M148" s="620"/>
      <c r="N148" s="824"/>
      <c r="O148" s="825"/>
      <c r="P148" s="826"/>
    </row>
    <row r="149" spans="1:17" ht="16.5" customHeight="1">
      <c r="A149" s="7"/>
      <c r="B149" s="680" t="s">
        <v>553</v>
      </c>
      <c r="C149" s="681"/>
      <c r="D149" s="681"/>
      <c r="E149" s="681"/>
      <c r="F149" s="681"/>
      <c r="G149" s="681"/>
      <c r="H149" s="681"/>
      <c r="I149" s="681"/>
      <c r="J149" s="681"/>
      <c r="K149" s="682"/>
      <c r="L149" s="693"/>
      <c r="M149" s="626"/>
      <c r="N149" s="827"/>
      <c r="O149" s="828"/>
      <c r="P149" s="829"/>
    </row>
    <row r="150" spans="1:17" ht="16.5" customHeight="1">
      <c r="A150" s="7"/>
      <c r="B150" s="680" t="s">
        <v>554</v>
      </c>
      <c r="C150" s="681"/>
      <c r="D150" s="681"/>
      <c r="E150" s="681"/>
      <c r="F150" s="681"/>
      <c r="G150" s="681"/>
      <c r="H150" s="681"/>
      <c r="I150" s="681"/>
      <c r="J150" s="681"/>
      <c r="K150" s="682"/>
      <c r="L150" s="695"/>
      <c r="M150" s="696"/>
      <c r="N150" s="827"/>
      <c r="O150" s="828"/>
      <c r="P150" s="829"/>
    </row>
    <row r="151" spans="1:17" ht="16.5" customHeight="1">
      <c r="A151" s="7"/>
      <c r="B151" s="680" t="s">
        <v>555</v>
      </c>
      <c r="C151" s="681"/>
      <c r="D151" s="681"/>
      <c r="E151" s="681"/>
      <c r="F151" s="681"/>
      <c r="G151" s="681"/>
      <c r="H151" s="681"/>
      <c r="I151" s="681"/>
      <c r="J151" s="681"/>
      <c r="K151" s="682"/>
      <c r="L151" s="693"/>
      <c r="M151" s="626"/>
      <c r="N151" s="827"/>
      <c r="O151" s="828"/>
      <c r="P151" s="829"/>
    </row>
    <row r="152" spans="1:17" ht="15.6">
      <c r="A152" s="633" t="s">
        <v>480</v>
      </c>
      <c r="B152" s="634"/>
      <c r="C152" s="634"/>
      <c r="D152" s="634"/>
      <c r="E152" s="634"/>
      <c r="F152" s="634"/>
      <c r="G152" s="634"/>
      <c r="H152" s="634"/>
      <c r="I152" s="634"/>
      <c r="J152" s="634"/>
      <c r="K152" s="635"/>
      <c r="L152" s="694"/>
      <c r="M152" s="620"/>
      <c r="N152" s="824"/>
      <c r="O152" s="825"/>
      <c r="P152" s="826"/>
      <c r="Q152" s="26"/>
    </row>
    <row r="153" spans="1:17">
      <c r="A153" s="686" t="s">
        <v>556</v>
      </c>
      <c r="B153" s="686"/>
      <c r="C153" s="686"/>
      <c r="D153" s="686"/>
      <c r="E153" s="686"/>
      <c r="F153" s="686"/>
      <c r="G153" s="686"/>
      <c r="H153" s="686"/>
      <c r="I153" s="686"/>
      <c r="J153" s="686"/>
      <c r="K153" s="686"/>
      <c r="L153" s="686"/>
      <c r="M153" s="686"/>
      <c r="N153" s="686"/>
      <c r="O153" s="686"/>
      <c r="P153" s="686"/>
    </row>
    <row r="154" spans="1:17">
      <c r="A154" s="688" t="s">
        <v>557</v>
      </c>
      <c r="B154" s="688"/>
      <c r="C154" s="688"/>
      <c r="D154" s="688"/>
      <c r="E154" s="688"/>
      <c r="F154" s="688"/>
      <c r="G154" s="688"/>
      <c r="H154" s="688"/>
      <c r="I154" s="688"/>
      <c r="J154" s="688"/>
      <c r="K154" s="688"/>
      <c r="L154" s="688"/>
      <c r="M154" s="688"/>
      <c r="N154" s="688"/>
      <c r="O154" s="688"/>
      <c r="P154" s="688"/>
    </row>
    <row r="155" spans="1:17">
      <c r="A155" s="3"/>
      <c r="B155" s="3"/>
      <c r="C155" s="3"/>
      <c r="D155" s="3"/>
      <c r="E155" s="3"/>
      <c r="F155" s="3"/>
      <c r="G155" s="3"/>
      <c r="H155" s="3"/>
      <c r="I155" s="3"/>
      <c r="J155" s="3"/>
      <c r="K155" s="3"/>
      <c r="L155" s="3"/>
      <c r="M155" s="3"/>
      <c r="N155" s="14"/>
      <c r="O155" s="14"/>
      <c r="P155" s="14"/>
    </row>
    <row r="156" spans="1:17" ht="15.6">
      <c r="A156" s="618" t="s">
        <v>558</v>
      </c>
      <c r="B156" s="619"/>
      <c r="C156" s="619"/>
      <c r="D156" s="619"/>
      <c r="E156" s="619"/>
      <c r="F156" s="619"/>
      <c r="G156" s="619"/>
      <c r="H156" s="619"/>
      <c r="I156" s="619"/>
      <c r="J156" s="619"/>
      <c r="K156" s="619"/>
      <c r="L156" s="619"/>
      <c r="M156" s="619"/>
      <c r="N156" s="619"/>
      <c r="O156" s="619"/>
      <c r="P156" s="620"/>
    </row>
    <row r="157" spans="1:17" ht="15.6">
      <c r="A157" s="23"/>
      <c r="B157" s="618" t="s">
        <v>559</v>
      </c>
      <c r="C157" s="619"/>
      <c r="D157" s="619"/>
      <c r="E157" s="619"/>
      <c r="F157" s="619"/>
      <c r="G157" s="619"/>
      <c r="H157" s="619"/>
      <c r="I157" s="619"/>
      <c r="J157" s="619"/>
      <c r="K157" s="619"/>
      <c r="L157" s="619"/>
      <c r="M157" s="620"/>
      <c r="N157" s="618" t="s">
        <v>51</v>
      </c>
      <c r="O157" s="619"/>
      <c r="P157" s="620"/>
    </row>
    <row r="158" spans="1:17" ht="15.6">
      <c r="A158" s="7" t="s">
        <v>25</v>
      </c>
      <c r="B158" s="680" t="s">
        <v>560</v>
      </c>
      <c r="C158" s="681"/>
      <c r="D158" s="681"/>
      <c r="E158" s="681"/>
      <c r="F158" s="681"/>
      <c r="G158" s="681"/>
      <c r="H158" s="681"/>
      <c r="I158" s="681"/>
      <c r="J158" s="681"/>
      <c r="K158" s="681"/>
      <c r="L158" s="681"/>
      <c r="M158" s="682"/>
      <c r="N158" s="827"/>
      <c r="O158" s="828"/>
      <c r="P158" s="829"/>
    </row>
    <row r="159" spans="1:17" ht="15.6">
      <c r="A159" s="7" t="s">
        <v>27</v>
      </c>
      <c r="B159" s="680" t="s">
        <v>561</v>
      </c>
      <c r="C159" s="681"/>
      <c r="D159" s="681"/>
      <c r="E159" s="681"/>
      <c r="F159" s="681"/>
      <c r="G159" s="681"/>
      <c r="H159" s="681"/>
      <c r="I159" s="681"/>
      <c r="J159" s="681"/>
      <c r="K159" s="681"/>
      <c r="L159" s="681"/>
      <c r="M159" s="682"/>
      <c r="N159" s="827"/>
      <c r="O159" s="828"/>
      <c r="P159" s="829"/>
    </row>
    <row r="160" spans="1:17" ht="15.6">
      <c r="A160" s="7" t="s">
        <v>30</v>
      </c>
      <c r="B160" s="680" t="s">
        <v>562</v>
      </c>
      <c r="C160" s="681"/>
      <c r="D160" s="681"/>
      <c r="E160" s="681"/>
      <c r="F160" s="681"/>
      <c r="G160" s="681"/>
      <c r="H160" s="681"/>
      <c r="I160" s="681"/>
      <c r="J160" s="681"/>
      <c r="K160" s="681"/>
      <c r="L160" s="681"/>
      <c r="M160" s="682"/>
      <c r="N160" s="827"/>
      <c r="O160" s="828"/>
      <c r="P160" s="829"/>
    </row>
    <row r="161" spans="1:16" ht="15.6">
      <c r="A161" s="7" t="s">
        <v>32</v>
      </c>
      <c r="B161" s="680" t="s">
        <v>563</v>
      </c>
      <c r="C161" s="681"/>
      <c r="D161" s="681"/>
      <c r="E161" s="681"/>
      <c r="F161" s="681"/>
      <c r="G161" s="681"/>
      <c r="H161" s="681"/>
      <c r="I161" s="681"/>
      <c r="J161" s="681"/>
      <c r="K161" s="681"/>
      <c r="L161" s="681"/>
      <c r="M161" s="682"/>
      <c r="N161" s="827"/>
      <c r="O161" s="828"/>
      <c r="P161" s="829"/>
    </row>
    <row r="162" spans="1:16" ht="15.6">
      <c r="A162" s="7" t="s">
        <v>56</v>
      </c>
      <c r="B162" s="680" t="s">
        <v>564</v>
      </c>
      <c r="C162" s="681"/>
      <c r="D162" s="681"/>
      <c r="E162" s="681"/>
      <c r="F162" s="681"/>
      <c r="G162" s="681"/>
      <c r="H162" s="681"/>
      <c r="I162" s="681"/>
      <c r="J162" s="681"/>
      <c r="K162" s="681"/>
      <c r="L162" s="681"/>
      <c r="M162" s="682"/>
      <c r="N162" s="827"/>
      <c r="O162" s="828"/>
      <c r="P162" s="829"/>
    </row>
    <row r="163" spans="1:16" ht="15.6">
      <c r="A163" s="633" t="s">
        <v>565</v>
      </c>
      <c r="B163" s="634"/>
      <c r="C163" s="634"/>
      <c r="D163" s="634"/>
      <c r="E163" s="634"/>
      <c r="F163" s="634"/>
      <c r="G163" s="634"/>
      <c r="H163" s="634"/>
      <c r="I163" s="634"/>
      <c r="J163" s="634"/>
      <c r="K163" s="634"/>
      <c r="L163" s="634"/>
      <c r="M163" s="635"/>
      <c r="N163" s="824"/>
      <c r="O163" s="825"/>
      <c r="P163" s="826"/>
    </row>
    <row r="164" spans="1:16" ht="15.6">
      <c r="A164" s="7" t="s">
        <v>58</v>
      </c>
      <c r="B164" s="680" t="s">
        <v>566</v>
      </c>
      <c r="C164" s="681"/>
      <c r="D164" s="681"/>
      <c r="E164" s="681"/>
      <c r="F164" s="681"/>
      <c r="G164" s="681"/>
      <c r="H164" s="681"/>
      <c r="I164" s="681"/>
      <c r="J164" s="681"/>
      <c r="K164" s="681"/>
      <c r="L164" s="681"/>
      <c r="M164" s="682"/>
      <c r="N164" s="827"/>
      <c r="O164" s="828"/>
      <c r="P164" s="829"/>
    </row>
    <row r="165" spans="1:16" ht="15.6">
      <c r="A165" s="633" t="s">
        <v>567</v>
      </c>
      <c r="B165" s="634"/>
      <c r="C165" s="634"/>
      <c r="D165" s="634"/>
      <c r="E165" s="634"/>
      <c r="F165" s="634"/>
      <c r="G165" s="634"/>
      <c r="H165" s="634"/>
      <c r="I165" s="634"/>
      <c r="J165" s="634"/>
      <c r="K165" s="634"/>
      <c r="L165" s="634"/>
      <c r="M165" s="635"/>
      <c r="N165" s="824"/>
      <c r="O165" s="825"/>
      <c r="P165" s="826"/>
    </row>
    <row r="166" spans="1:16" ht="15.6">
      <c r="A166" s="633" t="s">
        <v>568</v>
      </c>
      <c r="B166" s="634"/>
      <c r="C166" s="634"/>
      <c r="D166" s="634"/>
      <c r="E166" s="634"/>
      <c r="F166" s="634"/>
      <c r="G166" s="634"/>
      <c r="H166" s="634"/>
      <c r="I166" s="634"/>
      <c r="J166" s="634"/>
      <c r="K166" s="634"/>
      <c r="L166" s="634"/>
      <c r="M166" s="635"/>
      <c r="N166" s="665"/>
      <c r="O166" s="666"/>
      <c r="P166" s="667"/>
    </row>
  </sheetData>
  <mergeCells count="261">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4:P24"/>
    <mergeCell ref="A26:P26"/>
    <mergeCell ref="A28:P28"/>
    <mergeCell ref="A29:P29"/>
    <mergeCell ref="A30:P30"/>
    <mergeCell ref="B31:M31"/>
    <mergeCell ref="N31:P31"/>
    <mergeCell ref="B32:M32"/>
    <mergeCell ref="N32:P32"/>
    <mergeCell ref="B33:M33"/>
    <mergeCell ref="N33:P33"/>
    <mergeCell ref="B34:M34"/>
    <mergeCell ref="N34:P34"/>
    <mergeCell ref="B35:M35"/>
    <mergeCell ref="N35:P35"/>
    <mergeCell ref="A36:P36"/>
    <mergeCell ref="A37:P37"/>
    <mergeCell ref="A39:P39"/>
    <mergeCell ref="B40:M40"/>
    <mergeCell ref="N40:P40"/>
    <mergeCell ref="B41:M41"/>
    <mergeCell ref="N41:P41"/>
    <mergeCell ref="B42:M42"/>
    <mergeCell ref="N42:P42"/>
    <mergeCell ref="B43:M43"/>
    <mergeCell ref="N43:P43"/>
    <mergeCell ref="B44:M44"/>
    <mergeCell ref="N44:P44"/>
    <mergeCell ref="B45:M45"/>
    <mergeCell ref="N45:P45"/>
    <mergeCell ref="B46:M46"/>
    <mergeCell ref="N46:P46"/>
    <mergeCell ref="B47:M47"/>
    <mergeCell ref="N47:P47"/>
    <mergeCell ref="A48:M48"/>
    <mergeCell ref="N48:P48"/>
    <mergeCell ref="A49:P49"/>
    <mergeCell ref="A50:P50"/>
    <mergeCell ref="A52:P52"/>
    <mergeCell ref="A53:P53"/>
    <mergeCell ref="B54:M54"/>
    <mergeCell ref="N54:P54"/>
    <mergeCell ref="B55:M55"/>
    <mergeCell ref="N55:P55"/>
    <mergeCell ref="B56:M56"/>
    <mergeCell ref="N56:P56"/>
    <mergeCell ref="A57:M57"/>
    <mergeCell ref="N57:P57"/>
    <mergeCell ref="A58:P58"/>
    <mergeCell ref="A59:P59"/>
    <mergeCell ref="A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B68:K68"/>
    <mergeCell ref="L68:M68"/>
    <mergeCell ref="N68:P68"/>
    <mergeCell ref="B69:K69"/>
    <mergeCell ref="L69:M69"/>
    <mergeCell ref="N69:P69"/>
    <mergeCell ref="B70:K70"/>
    <mergeCell ref="L70:M70"/>
    <mergeCell ref="N70:P70"/>
    <mergeCell ref="A71:K71"/>
    <mergeCell ref="L71:M71"/>
    <mergeCell ref="N71:P71"/>
    <mergeCell ref="A72:P72"/>
    <mergeCell ref="A73:P73"/>
    <mergeCell ref="A74:P74"/>
    <mergeCell ref="A76:P76"/>
    <mergeCell ref="B77:M77"/>
    <mergeCell ref="N77:P77"/>
    <mergeCell ref="B78:M78"/>
    <mergeCell ref="N78:P78"/>
    <mergeCell ref="B79:M79"/>
    <mergeCell ref="N79:P79"/>
    <mergeCell ref="B80:M80"/>
    <mergeCell ref="N80:P80"/>
    <mergeCell ref="B81:M81"/>
    <mergeCell ref="N81:P81"/>
    <mergeCell ref="B82:M82"/>
    <mergeCell ref="N82:P82"/>
    <mergeCell ref="B83:M83"/>
    <mergeCell ref="B84:M84"/>
    <mergeCell ref="N84:P84"/>
    <mergeCell ref="A85:M85"/>
    <mergeCell ref="N85:P85"/>
    <mergeCell ref="A86:P86"/>
    <mergeCell ref="A87:P87"/>
    <mergeCell ref="A89:P89"/>
    <mergeCell ref="B90:M90"/>
    <mergeCell ref="N90:P90"/>
    <mergeCell ref="B91:M91"/>
    <mergeCell ref="N91:P91"/>
    <mergeCell ref="B92:M92"/>
    <mergeCell ref="N92:P92"/>
    <mergeCell ref="B93:M93"/>
    <mergeCell ref="N93:P93"/>
    <mergeCell ref="A94:M94"/>
    <mergeCell ref="N94:P94"/>
    <mergeCell ref="A96:P96"/>
    <mergeCell ref="B97:M97"/>
    <mergeCell ref="N97:P97"/>
    <mergeCell ref="B98:M98"/>
    <mergeCell ref="N98:P98"/>
    <mergeCell ref="B99:M99"/>
    <mergeCell ref="N99:P99"/>
    <mergeCell ref="B100:M100"/>
    <mergeCell ref="N100:P100"/>
    <mergeCell ref="B101:M101"/>
    <mergeCell ref="N101:P101"/>
    <mergeCell ref="B102:M102"/>
    <mergeCell ref="N102:P102"/>
    <mergeCell ref="B103:M103"/>
    <mergeCell ref="N103:P103"/>
    <mergeCell ref="A104:M104"/>
    <mergeCell ref="N104:P104"/>
    <mergeCell ref="A106:P106"/>
    <mergeCell ref="A108:P108"/>
    <mergeCell ref="A109:P109"/>
    <mergeCell ref="A111:P111"/>
    <mergeCell ref="B112:M112"/>
    <mergeCell ref="N112:P112"/>
    <mergeCell ref="B113:M113"/>
    <mergeCell ref="N113:P113"/>
    <mergeCell ref="B114:M114"/>
    <mergeCell ref="N114:P114"/>
    <mergeCell ref="B115:M115"/>
    <mergeCell ref="N115:P115"/>
    <mergeCell ref="B116:M116"/>
    <mergeCell ref="N116:P116"/>
    <mergeCell ref="B117:M117"/>
    <mergeCell ref="N117:P117"/>
    <mergeCell ref="B118:M118"/>
    <mergeCell ref="N118:P118"/>
    <mergeCell ref="B119:M119"/>
    <mergeCell ref="N119:P119"/>
    <mergeCell ref="A120:M120"/>
    <mergeCell ref="N120:P120"/>
    <mergeCell ref="A122:P122"/>
    <mergeCell ref="A124:P124"/>
    <mergeCell ref="B125:M125"/>
    <mergeCell ref="N125:P125"/>
    <mergeCell ref="B126:M126"/>
    <mergeCell ref="N126:P126"/>
    <mergeCell ref="A127:M127"/>
    <mergeCell ref="N127:P127"/>
    <mergeCell ref="A128:P128"/>
    <mergeCell ref="A130:P130"/>
    <mergeCell ref="B131:M131"/>
    <mergeCell ref="N131:P131"/>
    <mergeCell ref="B132:M132"/>
    <mergeCell ref="N132:P132"/>
    <mergeCell ref="B133:M133"/>
    <mergeCell ref="N133:P133"/>
    <mergeCell ref="A134:M134"/>
    <mergeCell ref="N134:P134"/>
    <mergeCell ref="A136:P136"/>
    <mergeCell ref="B137:M137"/>
    <mergeCell ref="N137:P137"/>
    <mergeCell ref="B138:M138"/>
    <mergeCell ref="N138:P138"/>
    <mergeCell ref="B139:M139"/>
    <mergeCell ref="N139:P139"/>
    <mergeCell ref="B140:M140"/>
    <mergeCell ref="N140:P140"/>
    <mergeCell ref="A141:M141"/>
    <mergeCell ref="N141:P141"/>
    <mergeCell ref="A142:P142"/>
    <mergeCell ref="A144:P144"/>
    <mergeCell ref="B145:K145"/>
    <mergeCell ref="L145:M145"/>
    <mergeCell ref="N145:P145"/>
    <mergeCell ref="B146:K146"/>
    <mergeCell ref="L146:M146"/>
    <mergeCell ref="N146:P146"/>
    <mergeCell ref="B147:K147"/>
    <mergeCell ref="L147:M147"/>
    <mergeCell ref="N147:P147"/>
    <mergeCell ref="B148:K148"/>
    <mergeCell ref="L148:M148"/>
    <mergeCell ref="N148:P148"/>
    <mergeCell ref="B149:K149"/>
    <mergeCell ref="L149:M149"/>
    <mergeCell ref="N149:P149"/>
    <mergeCell ref="B150:K150"/>
    <mergeCell ref="L150:M150"/>
    <mergeCell ref="N150:P150"/>
    <mergeCell ref="B151:K151"/>
    <mergeCell ref="L151:M151"/>
    <mergeCell ref="N151:P151"/>
    <mergeCell ref="A152:K152"/>
    <mergeCell ref="L152:M152"/>
    <mergeCell ref="N152:P152"/>
    <mergeCell ref="A153:P153"/>
    <mergeCell ref="A154:P154"/>
    <mergeCell ref="A156:P156"/>
    <mergeCell ref="B157:M157"/>
    <mergeCell ref="N157:P157"/>
    <mergeCell ref="B158:M158"/>
    <mergeCell ref="N158:P158"/>
    <mergeCell ref="N163:P163"/>
    <mergeCell ref="B164:M164"/>
    <mergeCell ref="N164:P164"/>
    <mergeCell ref="B159:M159"/>
    <mergeCell ref="N159:P159"/>
    <mergeCell ref="B160:M160"/>
    <mergeCell ref="N160:P160"/>
    <mergeCell ref="B161:M161"/>
    <mergeCell ref="N161:P161"/>
    <mergeCell ref="A165:M165"/>
    <mergeCell ref="N165:P165"/>
    <mergeCell ref="A166:M166"/>
    <mergeCell ref="N166:P166"/>
    <mergeCell ref="N17:P19"/>
    <mergeCell ref="A17:D19"/>
    <mergeCell ref="E17:M19"/>
    <mergeCell ref="B162:M162"/>
    <mergeCell ref="N162:P162"/>
    <mergeCell ref="A163:M163"/>
  </mergeCells>
  <pageMargins left="0.511811024" right="0.511811024" top="0.78740157499999996" bottom="0.78740157499999996" header="0.31496062000000002" footer="0.31496062000000002"/>
  <pageSetup paperSize="9" scale="2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4"/>
  <sheetViews>
    <sheetView view="pageBreakPreview" topLeftCell="A19" zoomScale="85" zoomScaleNormal="70" workbookViewId="0">
      <selection activeCell="D41" sqref="D41:E41"/>
    </sheetView>
  </sheetViews>
  <sheetFormatPr defaultColWidth="9.109375" defaultRowHeight="13.2"/>
  <cols>
    <col min="1" max="1" width="8.88671875" customWidth="1"/>
    <col min="2" max="2" width="52.88671875" bestFit="1" customWidth="1"/>
    <col min="3" max="4" width="16.88671875" customWidth="1"/>
    <col min="5" max="6" width="16.5546875" customWidth="1"/>
    <col min="7" max="7" width="17.33203125" customWidth="1"/>
    <col min="8" max="8" width="21.109375" customWidth="1"/>
    <col min="9" max="9" width="20.6640625" customWidth="1"/>
    <col min="10" max="10" width="16" bestFit="1" customWidth="1"/>
    <col min="11" max="11" width="16" customWidth="1"/>
    <col min="12" max="12" width="15.5546875" customWidth="1"/>
    <col min="13" max="13" width="9.33203125" bestFit="1" customWidth="1"/>
    <col min="14" max="14" width="11.88671875" bestFit="1" customWidth="1"/>
    <col min="15" max="15" width="9.33203125" bestFit="1" customWidth="1"/>
    <col min="16" max="16" width="11.88671875" bestFit="1" customWidth="1"/>
    <col min="18" max="18" width="9.33203125" bestFit="1" customWidth="1"/>
    <col min="19" max="19" width="39.33203125" bestFit="1" customWidth="1"/>
    <col min="20" max="20" width="43.109375" bestFit="1" customWidth="1"/>
  </cols>
  <sheetData>
    <row r="1" spans="1:20" ht="40.5" customHeight="1">
      <c r="A1" s="599" t="s">
        <v>242</v>
      </c>
      <c r="B1" s="595"/>
      <c r="C1" s="595"/>
      <c r="D1" s="595"/>
      <c r="E1" s="595"/>
      <c r="F1" s="595"/>
      <c r="G1" s="595"/>
      <c r="H1" s="595"/>
      <c r="I1" s="595"/>
      <c r="L1" s="600" t="s">
        <v>243</v>
      </c>
      <c r="M1" s="601"/>
      <c r="N1" s="601"/>
      <c r="O1" s="601"/>
      <c r="P1" s="601"/>
      <c r="Q1" s="601"/>
      <c r="R1" s="601"/>
      <c r="S1" s="601"/>
      <c r="T1" s="602"/>
    </row>
    <row r="2" spans="1:20" ht="15.9" customHeight="1">
      <c r="A2" s="320" t="s">
        <v>244</v>
      </c>
      <c r="B2" s="321" t="str">
        <f>[2]BASE!D15</f>
        <v>Recepcionista - Vitória</v>
      </c>
      <c r="C2" s="322">
        <v>3441.18</v>
      </c>
      <c r="D2" s="323">
        <v>1</v>
      </c>
      <c r="E2" s="322">
        <f t="shared" ref="E2:E29" si="0">C2*D2</f>
        <v>3441.18</v>
      </c>
      <c r="F2" s="323">
        <v>19</v>
      </c>
      <c r="G2" s="324">
        <v>16</v>
      </c>
      <c r="H2" s="322">
        <f>E2*F2</f>
        <v>65382.42</v>
      </c>
      <c r="I2" s="322">
        <f>H2*6</f>
        <v>392294.52</v>
      </c>
      <c r="J2" s="340"/>
      <c r="L2" s="341"/>
      <c r="M2" s="342"/>
      <c r="N2" s="342"/>
      <c r="O2" s="342"/>
      <c r="P2" s="342"/>
      <c r="R2" s="342"/>
      <c r="S2" s="342"/>
    </row>
    <row r="3" spans="1:20" ht="15.9" customHeight="1">
      <c r="A3" s="320" t="s">
        <v>245</v>
      </c>
      <c r="B3" s="321" t="str">
        <f>[2]BASE!D16</f>
        <v>Recepcionista - Alegre</v>
      </c>
      <c r="C3" s="322">
        <v>3368.88</v>
      </c>
      <c r="D3" s="323">
        <v>1</v>
      </c>
      <c r="E3" s="322">
        <f t="shared" si="0"/>
        <v>3368.88</v>
      </c>
      <c r="F3" s="325">
        <v>4</v>
      </c>
      <c r="G3" s="324">
        <v>6</v>
      </c>
      <c r="H3" s="322">
        <f t="shared" ref="H3:H29" si="1">E3*F3</f>
        <v>13475.52</v>
      </c>
      <c r="I3" s="322">
        <f t="shared" ref="I3:I29" si="2">H3*6</f>
        <v>80853.119999999995</v>
      </c>
      <c r="J3" s="340"/>
      <c r="L3" s="343"/>
      <c r="M3" s="344"/>
      <c r="N3" s="345" t="s">
        <v>246</v>
      </c>
      <c r="O3" s="346" t="s">
        <v>247</v>
      </c>
      <c r="P3" s="346" t="s">
        <v>248</v>
      </c>
      <c r="R3" s="346" t="s">
        <v>249</v>
      </c>
      <c r="S3" s="346" t="s">
        <v>250</v>
      </c>
      <c r="T3" s="346" t="s">
        <v>251</v>
      </c>
    </row>
    <row r="4" spans="1:20" ht="15.9" customHeight="1">
      <c r="A4" s="320" t="s">
        <v>252</v>
      </c>
      <c r="B4" s="321" t="str">
        <f>[2]BASE!D17</f>
        <v>Supervisor</v>
      </c>
      <c r="C4" s="322">
        <v>3632.41</v>
      </c>
      <c r="D4" s="323">
        <v>1</v>
      </c>
      <c r="E4" s="322">
        <f t="shared" si="0"/>
        <v>3632.41</v>
      </c>
      <c r="F4" s="323">
        <v>1</v>
      </c>
      <c r="G4" s="326">
        <v>1</v>
      </c>
      <c r="H4" s="322">
        <f t="shared" si="1"/>
        <v>3632.41</v>
      </c>
      <c r="I4" s="322">
        <f t="shared" si="2"/>
        <v>21794.46</v>
      </c>
      <c r="L4" s="347" t="s">
        <v>253</v>
      </c>
      <c r="M4" s="348"/>
      <c r="N4" s="349" t="s">
        <v>254</v>
      </c>
      <c r="O4" s="349" t="s">
        <v>255</v>
      </c>
      <c r="P4" s="349" t="s">
        <v>256</v>
      </c>
      <c r="R4" s="349" t="s">
        <v>257</v>
      </c>
      <c r="S4" s="372"/>
      <c r="T4" s="372"/>
    </row>
    <row r="5" spans="1:20" ht="15.9" customHeight="1">
      <c r="A5" s="320" t="s">
        <v>258</v>
      </c>
      <c r="B5" s="321" t="str">
        <f>[2]BASE!D18</f>
        <v>Lavador de Veículos Pesados - Vitória</v>
      </c>
      <c r="C5" s="322">
        <v>3348.02</v>
      </c>
      <c r="D5" s="323">
        <v>1</v>
      </c>
      <c r="E5" s="322">
        <f t="shared" si="0"/>
        <v>3348.02</v>
      </c>
      <c r="F5" s="323">
        <v>1</v>
      </c>
      <c r="G5" s="326">
        <v>1</v>
      </c>
      <c r="H5" s="322">
        <f t="shared" si="1"/>
        <v>3348.02</v>
      </c>
      <c r="I5" s="322">
        <f t="shared" si="2"/>
        <v>20088.12</v>
      </c>
      <c r="L5" s="350"/>
      <c r="M5" s="351"/>
      <c r="N5" s="352"/>
      <c r="O5" s="352"/>
      <c r="P5" s="352"/>
      <c r="R5" s="349" t="s">
        <v>259</v>
      </c>
      <c r="S5" s="349" t="s">
        <v>260</v>
      </c>
      <c r="T5" s="349" t="s">
        <v>260</v>
      </c>
    </row>
    <row r="6" spans="1:20" ht="15.9" customHeight="1">
      <c r="A6" s="320" t="s">
        <v>261</v>
      </c>
      <c r="B6" s="321" t="str">
        <f>[2]BASE!D19</f>
        <v>Almoxarife - Vitória</v>
      </c>
      <c r="C6" s="322">
        <v>3249.96</v>
      </c>
      <c r="D6" s="323">
        <v>1</v>
      </c>
      <c r="E6" s="322">
        <f t="shared" si="0"/>
        <v>3249.96</v>
      </c>
      <c r="F6" s="323">
        <v>2</v>
      </c>
      <c r="G6" s="326">
        <v>2</v>
      </c>
      <c r="H6" s="322">
        <f t="shared" si="1"/>
        <v>6499.92</v>
      </c>
      <c r="I6" s="322">
        <f t="shared" si="2"/>
        <v>38999.519999999997</v>
      </c>
      <c r="L6" s="353" t="s">
        <v>262</v>
      </c>
      <c r="M6" s="354"/>
      <c r="N6" s="355"/>
      <c r="O6" s="355"/>
      <c r="P6" s="355"/>
      <c r="R6" s="355"/>
      <c r="S6" s="355"/>
      <c r="T6" s="355"/>
    </row>
    <row r="7" spans="1:20" ht="15.9" customHeight="1">
      <c r="A7" s="320" t="s">
        <v>263</v>
      </c>
      <c r="B7" s="321" t="str">
        <f>[2]BASE!D20</f>
        <v>Almoxarife - Alegre</v>
      </c>
      <c r="C7" s="322">
        <v>3170.74</v>
      </c>
      <c r="D7" s="323">
        <v>1</v>
      </c>
      <c r="E7" s="322">
        <f t="shared" si="0"/>
        <v>3170.74</v>
      </c>
      <c r="F7" s="323">
        <v>1</v>
      </c>
      <c r="G7" s="326">
        <f>[2]BASE!E20</f>
        <v>1</v>
      </c>
      <c r="H7" s="322">
        <f t="shared" si="1"/>
        <v>3170.74</v>
      </c>
      <c r="I7" s="322">
        <f t="shared" si="2"/>
        <v>19024.439999999999</v>
      </c>
      <c r="L7" s="356" t="s">
        <v>244</v>
      </c>
      <c r="M7" s="357" t="e">
        <f>'BASE DE CÁLCULO'!#REF!</f>
        <v>#REF!</v>
      </c>
      <c r="N7" s="358" t="e">
        <f>#REF!</f>
        <v>#REF!</v>
      </c>
      <c r="O7" s="359">
        <v>1</v>
      </c>
      <c r="P7" s="358" t="e">
        <f>N7*O7</f>
        <v>#REF!</v>
      </c>
      <c r="R7" s="359">
        <f>G2</f>
        <v>16</v>
      </c>
      <c r="S7" s="358" t="e">
        <f t="shared" ref="S7:S34" si="3">P7*R7</f>
        <v>#REF!</v>
      </c>
      <c r="T7" s="358" t="e">
        <f>S7*'BASE DE CÁLCULO'!#REF!</f>
        <v>#REF!</v>
      </c>
    </row>
    <row r="8" spans="1:20" ht="15.9" customHeight="1">
      <c r="A8" s="320" t="s">
        <v>264</v>
      </c>
      <c r="B8" s="321" t="str">
        <f>[2]BASE!D21</f>
        <v>Piscineiro</v>
      </c>
      <c r="C8" s="322">
        <v>3582.54</v>
      </c>
      <c r="D8" s="323">
        <v>1</v>
      </c>
      <c r="E8" s="322">
        <f t="shared" si="0"/>
        <v>3582.54</v>
      </c>
      <c r="F8" s="323">
        <v>1</v>
      </c>
      <c r="G8" s="326">
        <v>1</v>
      </c>
      <c r="H8" s="322">
        <f t="shared" si="1"/>
        <v>3582.54</v>
      </c>
      <c r="I8" s="322">
        <f t="shared" si="2"/>
        <v>21495.24</v>
      </c>
      <c r="L8" s="356" t="s">
        <v>245</v>
      </c>
      <c r="M8" s="357" t="e">
        <f>'BASE DE CÁLCULO'!#REF!</f>
        <v>#REF!</v>
      </c>
      <c r="N8" s="358" t="e">
        <f>#REF!</f>
        <v>#REF!</v>
      </c>
      <c r="O8" s="359">
        <v>1</v>
      </c>
      <c r="P8" s="358" t="e">
        <f t="shared" ref="P8:P34" si="4">N8*O8</f>
        <v>#REF!</v>
      </c>
      <c r="R8" s="359">
        <f t="shared" ref="R8:R34" si="5">G3</f>
        <v>6</v>
      </c>
      <c r="S8" s="358" t="e">
        <f t="shared" si="3"/>
        <v>#REF!</v>
      </c>
      <c r="T8" s="358" t="e">
        <f>S8*'BASE DE CÁLCULO'!#REF!</f>
        <v>#REF!</v>
      </c>
    </row>
    <row r="9" spans="1:20" ht="15.9" customHeight="1">
      <c r="A9" s="320" t="s">
        <v>265</v>
      </c>
      <c r="B9" s="321" t="str">
        <f>[2]BASE!D22</f>
        <v>Copeiro - Vitória</v>
      </c>
      <c r="C9" s="322">
        <v>2690</v>
      </c>
      <c r="D9" s="323">
        <v>1</v>
      </c>
      <c r="E9" s="322">
        <f t="shared" si="0"/>
        <v>2690</v>
      </c>
      <c r="F9" s="323">
        <v>1</v>
      </c>
      <c r="G9" s="326">
        <v>1</v>
      </c>
      <c r="H9" s="322">
        <f t="shared" si="1"/>
        <v>2690</v>
      </c>
      <c r="I9" s="322">
        <f t="shared" si="2"/>
        <v>16140</v>
      </c>
      <c r="L9" s="356" t="s">
        <v>252</v>
      </c>
      <c r="M9" s="357" t="str">
        <f>'BASE DE CÁLCULO'!L22</f>
        <v>Cesta Básica</v>
      </c>
      <c r="N9" s="358" t="e">
        <f>#REF!</f>
        <v>#REF!</v>
      </c>
      <c r="O9" s="359">
        <v>1</v>
      </c>
      <c r="P9" s="358" t="e">
        <f t="shared" si="4"/>
        <v>#REF!</v>
      </c>
      <c r="R9" s="359">
        <f t="shared" si="5"/>
        <v>1</v>
      </c>
      <c r="S9" s="358" t="e">
        <f t="shared" si="3"/>
        <v>#REF!</v>
      </c>
      <c r="T9" s="358" t="e">
        <f>S9*'BASE DE CÁLCULO'!#REF!</f>
        <v>#REF!</v>
      </c>
    </row>
    <row r="10" spans="1:20" ht="15.9" customHeight="1">
      <c r="A10" s="320" t="s">
        <v>266</v>
      </c>
      <c r="B10" s="321" t="str">
        <f>[2]BASE!D23</f>
        <v>Contínuo (Office Boy) - Vitória</v>
      </c>
      <c r="C10" s="322">
        <v>2690</v>
      </c>
      <c r="D10" s="323">
        <v>1</v>
      </c>
      <c r="E10" s="322">
        <f t="shared" si="0"/>
        <v>2690</v>
      </c>
      <c r="F10" s="323">
        <v>3</v>
      </c>
      <c r="G10" s="326">
        <v>3</v>
      </c>
      <c r="H10" s="322">
        <f t="shared" si="1"/>
        <v>8070</v>
      </c>
      <c r="I10" s="322">
        <f t="shared" si="2"/>
        <v>48420</v>
      </c>
      <c r="L10" s="356" t="s">
        <v>258</v>
      </c>
      <c r="M10" s="357">
        <f>'BASE DE CÁLCULO'!L23</f>
        <v>158.11000000000001</v>
      </c>
      <c r="N10" s="358" t="e">
        <f>#REF!</f>
        <v>#REF!</v>
      </c>
      <c r="O10" s="359">
        <v>1</v>
      </c>
      <c r="P10" s="358" t="e">
        <f t="shared" si="4"/>
        <v>#REF!</v>
      </c>
      <c r="R10" s="359">
        <f t="shared" si="5"/>
        <v>1</v>
      </c>
      <c r="S10" s="358" t="e">
        <f t="shared" si="3"/>
        <v>#REF!</v>
      </c>
      <c r="T10" s="358" t="e">
        <f>S10*'BASE DE CÁLCULO'!#REF!</f>
        <v>#REF!</v>
      </c>
    </row>
    <row r="11" spans="1:20" s="319" customFormat="1" ht="15.9" customHeight="1">
      <c r="A11" s="327" t="s">
        <v>267</v>
      </c>
      <c r="B11" s="328" t="str">
        <f>[2]BASE!D24</f>
        <v>Contínuo (Office Boy) - São Mateus</v>
      </c>
      <c r="C11" s="329">
        <v>2654.27</v>
      </c>
      <c r="D11" s="330">
        <v>1</v>
      </c>
      <c r="E11" s="329">
        <f t="shared" si="0"/>
        <v>2654.27</v>
      </c>
      <c r="F11" s="330">
        <v>1</v>
      </c>
      <c r="G11" s="326">
        <f>[2]BASE!E24</f>
        <v>1</v>
      </c>
      <c r="H11" s="322">
        <f t="shared" si="1"/>
        <v>2654.27</v>
      </c>
      <c r="I11" s="322">
        <f t="shared" si="2"/>
        <v>15925.62</v>
      </c>
      <c r="L11" s="356" t="s">
        <v>261</v>
      </c>
      <c r="M11" s="357">
        <f>'BASE DE CÁLCULO'!L24</f>
        <v>158.11000000000001</v>
      </c>
      <c r="N11" s="358" t="e">
        <f>#REF!</f>
        <v>#REF!</v>
      </c>
      <c r="O11" s="359">
        <v>1</v>
      </c>
      <c r="P11" s="358" t="e">
        <f t="shared" si="4"/>
        <v>#REF!</v>
      </c>
      <c r="Q11"/>
      <c r="R11" s="359">
        <f t="shared" si="5"/>
        <v>2</v>
      </c>
      <c r="S11" s="358" t="e">
        <f t="shared" si="3"/>
        <v>#REF!</v>
      </c>
      <c r="T11" s="358" t="e">
        <f>S11*'BASE DE CÁLCULO'!#REF!</f>
        <v>#REF!</v>
      </c>
    </row>
    <row r="12" spans="1:20" s="319" customFormat="1" ht="15.9" customHeight="1">
      <c r="A12" s="327" t="s">
        <v>268</v>
      </c>
      <c r="B12" s="328" t="str">
        <f>[2]BASE!D25</f>
        <v>Contínuo (Office Boy) - Alegre</v>
      </c>
      <c r="C12" s="329">
        <v>2590.59</v>
      </c>
      <c r="D12" s="330">
        <v>1</v>
      </c>
      <c r="E12" s="329">
        <f t="shared" si="0"/>
        <v>2590.59</v>
      </c>
      <c r="F12" s="330">
        <v>1</v>
      </c>
      <c r="G12" s="326">
        <f>[2]BASE!E25</f>
        <v>1</v>
      </c>
      <c r="H12" s="322">
        <f t="shared" si="1"/>
        <v>2590.59</v>
      </c>
      <c r="I12" s="322">
        <f t="shared" si="2"/>
        <v>15543.54</v>
      </c>
      <c r="L12" s="356" t="s">
        <v>263</v>
      </c>
      <c r="M12" s="357">
        <f>'BASE DE CÁLCULO'!L25</f>
        <v>158.11000000000001</v>
      </c>
      <c r="N12" s="358" t="e">
        <f>#REF!</f>
        <v>#REF!</v>
      </c>
      <c r="O12" s="359">
        <v>1</v>
      </c>
      <c r="P12" s="358" t="e">
        <f t="shared" si="4"/>
        <v>#REF!</v>
      </c>
      <c r="Q12"/>
      <c r="R12" s="359">
        <f t="shared" si="5"/>
        <v>1</v>
      </c>
      <c r="S12" s="358" t="e">
        <f t="shared" si="3"/>
        <v>#REF!</v>
      </c>
      <c r="T12" s="358" t="e">
        <f>S12*'BASE DE CÁLCULO'!#REF!</f>
        <v>#REF!</v>
      </c>
    </row>
    <row r="13" spans="1:20" s="319" customFormat="1" ht="15.9" customHeight="1">
      <c r="A13" s="327" t="s">
        <v>269</v>
      </c>
      <c r="B13" s="328" t="str">
        <f>[2]BASE!D26</f>
        <v>Trabalhador Braçal - Vitória</v>
      </c>
      <c r="C13" s="329">
        <v>3471.37</v>
      </c>
      <c r="D13" s="330">
        <v>1</v>
      </c>
      <c r="E13" s="329">
        <f t="shared" si="0"/>
        <v>3471.37</v>
      </c>
      <c r="F13" s="323">
        <v>7</v>
      </c>
      <c r="G13" s="324">
        <v>3</v>
      </c>
      <c r="H13" s="322">
        <f t="shared" si="1"/>
        <v>24299.59</v>
      </c>
      <c r="I13" s="322">
        <f t="shared" si="2"/>
        <v>145797.54</v>
      </c>
      <c r="J13" s="340"/>
      <c r="L13" s="356" t="s">
        <v>264</v>
      </c>
      <c r="M13" s="357">
        <f>'BASE DE CÁLCULO'!L26</f>
        <v>158.11000000000001</v>
      </c>
      <c r="N13" s="358" t="e">
        <f>#REF!</f>
        <v>#REF!</v>
      </c>
      <c r="O13" s="359">
        <v>1</v>
      </c>
      <c r="P13" s="358" t="e">
        <f t="shared" si="4"/>
        <v>#REF!</v>
      </c>
      <c r="Q13"/>
      <c r="R13" s="359">
        <f t="shared" si="5"/>
        <v>1</v>
      </c>
      <c r="S13" s="358" t="e">
        <f t="shared" si="3"/>
        <v>#REF!</v>
      </c>
      <c r="T13" s="358" t="e">
        <f>S13*'BASE DE CÁLCULO'!#REF!</f>
        <v>#REF!</v>
      </c>
    </row>
    <row r="14" spans="1:20" s="319" customFormat="1" ht="15.9" customHeight="1">
      <c r="A14" s="327" t="s">
        <v>270</v>
      </c>
      <c r="B14" s="328" t="str">
        <f>[2]BASE!D27</f>
        <v>Trabalhador Braçal - São Mateus</v>
      </c>
      <c r="C14" s="329">
        <v>3435.68</v>
      </c>
      <c r="D14" s="330">
        <v>1</v>
      </c>
      <c r="E14" s="329">
        <f t="shared" si="0"/>
        <v>3435.68</v>
      </c>
      <c r="F14" s="330">
        <v>3</v>
      </c>
      <c r="G14" s="326">
        <f>[2]BASE!E27</f>
        <v>3</v>
      </c>
      <c r="H14" s="322">
        <f t="shared" si="1"/>
        <v>10307.040000000001</v>
      </c>
      <c r="I14" s="322">
        <f t="shared" si="2"/>
        <v>61842.239999999998</v>
      </c>
      <c r="L14" s="356" t="s">
        <v>265</v>
      </c>
      <c r="M14" s="357">
        <f>'BASE DE CÁLCULO'!L27</f>
        <v>158.11000000000001</v>
      </c>
      <c r="N14" s="358" t="e">
        <f>#REF!</f>
        <v>#REF!</v>
      </c>
      <c r="O14" s="359">
        <v>1</v>
      </c>
      <c r="P14" s="358" t="e">
        <f t="shared" si="4"/>
        <v>#REF!</v>
      </c>
      <c r="Q14"/>
      <c r="R14" s="359">
        <f t="shared" si="5"/>
        <v>1</v>
      </c>
      <c r="S14" s="358" t="e">
        <f t="shared" si="3"/>
        <v>#REF!</v>
      </c>
      <c r="T14" s="358" t="e">
        <f>S14*'BASE DE CÁLCULO'!#REF!</f>
        <v>#REF!</v>
      </c>
    </row>
    <row r="15" spans="1:20" s="319" customFormat="1" ht="15.9" customHeight="1">
      <c r="A15" s="327" t="s">
        <v>271</v>
      </c>
      <c r="B15" s="328" t="str">
        <f>[2]BASE!D28</f>
        <v xml:space="preserve">Trabalhador Braçal - Alegre </v>
      </c>
      <c r="C15" s="329">
        <v>3371.96</v>
      </c>
      <c r="D15" s="330">
        <v>1</v>
      </c>
      <c r="E15" s="329">
        <f t="shared" si="0"/>
        <v>3371.96</v>
      </c>
      <c r="F15" s="331">
        <v>6</v>
      </c>
      <c r="G15" s="324">
        <v>7</v>
      </c>
      <c r="H15" s="322">
        <f t="shared" si="1"/>
        <v>20231.759999999998</v>
      </c>
      <c r="I15" s="322">
        <f t="shared" si="2"/>
        <v>121390.56</v>
      </c>
      <c r="J15" s="340"/>
      <c r="L15" s="356" t="s">
        <v>266</v>
      </c>
      <c r="M15" s="357">
        <f>'BASE DE CÁLCULO'!L28</f>
        <v>158.11000000000001</v>
      </c>
      <c r="N15" s="358" t="e">
        <f>#REF!</f>
        <v>#REF!</v>
      </c>
      <c r="O15" s="359">
        <v>1</v>
      </c>
      <c r="P15" s="358" t="e">
        <f t="shared" si="4"/>
        <v>#REF!</v>
      </c>
      <c r="Q15"/>
      <c r="R15" s="359">
        <f t="shared" si="5"/>
        <v>3</v>
      </c>
      <c r="S15" s="358" t="e">
        <f t="shared" si="3"/>
        <v>#REF!</v>
      </c>
      <c r="T15" s="358" t="e">
        <f>S15*'BASE DE CÁLCULO'!#REF!</f>
        <v>#REF!</v>
      </c>
    </row>
    <row r="16" spans="1:20" ht="15.9" customHeight="1">
      <c r="A16" s="327" t="s">
        <v>272</v>
      </c>
      <c r="B16" s="328" t="str">
        <f>[2]BASE!D29</f>
        <v>Porteiro - Vitória</v>
      </c>
      <c r="C16" s="329">
        <v>2867.51</v>
      </c>
      <c r="D16" s="330">
        <v>1</v>
      </c>
      <c r="E16" s="329">
        <f t="shared" si="0"/>
        <v>2867.51</v>
      </c>
      <c r="F16" s="323">
        <v>16</v>
      </c>
      <c r="G16" s="324">
        <v>15</v>
      </c>
      <c r="H16" s="322">
        <f t="shared" si="1"/>
        <v>45880.160000000003</v>
      </c>
      <c r="I16" s="322">
        <f t="shared" si="2"/>
        <v>275280.96000000002</v>
      </c>
      <c r="J16" s="360"/>
      <c r="L16" s="361" t="s">
        <v>267</v>
      </c>
      <c r="M16" s="362">
        <f>'BASE DE CÁLCULO'!L29</f>
        <v>158.11000000000001</v>
      </c>
      <c r="N16" s="363" t="e">
        <f>#REF!</f>
        <v>#REF!</v>
      </c>
      <c r="O16" s="364">
        <v>1</v>
      </c>
      <c r="P16" s="363" t="e">
        <f t="shared" si="4"/>
        <v>#REF!</v>
      </c>
      <c r="Q16" s="319"/>
      <c r="R16" s="359">
        <f t="shared" si="5"/>
        <v>1</v>
      </c>
      <c r="S16" s="358" t="e">
        <f t="shared" si="3"/>
        <v>#REF!</v>
      </c>
      <c r="T16" s="363" t="e">
        <f>S16*'BASE DE CÁLCULO'!#REF!</f>
        <v>#REF!</v>
      </c>
    </row>
    <row r="17" spans="1:20" ht="15.9" customHeight="1">
      <c r="A17" s="327" t="s">
        <v>273</v>
      </c>
      <c r="B17" s="328" t="str">
        <f>[2]BASE!D30</f>
        <v>Porteiro - São Mateus</v>
      </c>
      <c r="C17" s="329">
        <v>2831.79</v>
      </c>
      <c r="D17" s="330">
        <v>1</v>
      </c>
      <c r="E17" s="329">
        <f t="shared" si="0"/>
        <v>2831.79</v>
      </c>
      <c r="F17" s="330">
        <v>1</v>
      </c>
      <c r="G17" s="324">
        <v>0</v>
      </c>
      <c r="H17" s="322">
        <f t="shared" si="1"/>
        <v>2831.79</v>
      </c>
      <c r="I17" s="322">
        <f t="shared" si="2"/>
        <v>16990.740000000002</v>
      </c>
      <c r="L17" s="361" t="s">
        <v>268</v>
      </c>
      <c r="M17" s="362">
        <f>'BASE DE CÁLCULO'!L30</f>
        <v>158.11000000000001</v>
      </c>
      <c r="N17" s="363" t="e">
        <f>#REF!</f>
        <v>#REF!</v>
      </c>
      <c r="O17" s="364">
        <v>1</v>
      </c>
      <c r="P17" s="363" t="e">
        <f t="shared" si="4"/>
        <v>#REF!</v>
      </c>
      <c r="Q17" s="319"/>
      <c r="R17" s="359">
        <f t="shared" si="5"/>
        <v>1</v>
      </c>
      <c r="S17" s="358" t="e">
        <f t="shared" si="3"/>
        <v>#REF!</v>
      </c>
      <c r="T17" s="363" t="e">
        <f>S17*'BASE DE CÁLCULO'!#REF!</f>
        <v>#REF!</v>
      </c>
    </row>
    <row r="18" spans="1:20" ht="15.9" customHeight="1">
      <c r="A18" s="327" t="s">
        <v>274</v>
      </c>
      <c r="B18" s="328" t="str">
        <f>[2]BASE!D31</f>
        <v>Auxiliar Odontológico - Vitória</v>
      </c>
      <c r="C18" s="329">
        <v>3132.47</v>
      </c>
      <c r="D18" s="330">
        <v>1</v>
      </c>
      <c r="E18" s="329">
        <f t="shared" si="0"/>
        <v>3132.47</v>
      </c>
      <c r="F18" s="323">
        <v>8</v>
      </c>
      <c r="G18" s="324">
        <v>8</v>
      </c>
      <c r="H18" s="322">
        <f t="shared" si="1"/>
        <v>25059.759999999998</v>
      </c>
      <c r="I18" s="322">
        <f t="shared" si="2"/>
        <v>150358.56</v>
      </c>
      <c r="J18" s="340"/>
      <c r="L18" s="361" t="s">
        <v>269</v>
      </c>
      <c r="M18" s="362">
        <f>'BASE DE CÁLCULO'!L31</f>
        <v>158.11000000000001</v>
      </c>
      <c r="N18" s="363" t="e">
        <f>#REF!</f>
        <v>#REF!</v>
      </c>
      <c r="O18" s="364">
        <v>1</v>
      </c>
      <c r="P18" s="363" t="e">
        <f t="shared" si="4"/>
        <v>#REF!</v>
      </c>
      <c r="Q18" s="319"/>
      <c r="R18" s="359">
        <f t="shared" si="5"/>
        <v>3</v>
      </c>
      <c r="S18" s="358" t="e">
        <f t="shared" si="3"/>
        <v>#REF!</v>
      </c>
      <c r="T18" s="363" t="e">
        <f>S18*'BASE DE CÁLCULO'!#REF!</f>
        <v>#REF!</v>
      </c>
    </row>
    <row r="19" spans="1:20" ht="15.9" customHeight="1">
      <c r="A19" s="327" t="s">
        <v>275</v>
      </c>
      <c r="B19" s="328" t="str">
        <f>[2]BASE!D32</f>
        <v>Motorista - Vitória</v>
      </c>
      <c r="C19" s="329">
        <v>11568</v>
      </c>
      <c r="D19" s="330">
        <v>1</v>
      </c>
      <c r="E19" s="329">
        <f t="shared" si="0"/>
        <v>11568</v>
      </c>
      <c r="F19" s="323">
        <v>5</v>
      </c>
      <c r="G19" s="326">
        <v>5</v>
      </c>
      <c r="H19" s="322">
        <f t="shared" si="1"/>
        <v>57840</v>
      </c>
      <c r="I19" s="322">
        <f t="shared" si="2"/>
        <v>347040</v>
      </c>
      <c r="L19" s="361" t="s">
        <v>270</v>
      </c>
      <c r="M19" s="362">
        <f>'BASE DE CÁLCULO'!L32</f>
        <v>158.11000000000001</v>
      </c>
      <c r="N19" s="363" t="e">
        <f>#REF!</f>
        <v>#REF!</v>
      </c>
      <c r="O19" s="364">
        <v>1</v>
      </c>
      <c r="P19" s="363" t="e">
        <f t="shared" si="4"/>
        <v>#REF!</v>
      </c>
      <c r="Q19" s="319"/>
      <c r="R19" s="359">
        <f t="shared" si="5"/>
        <v>3</v>
      </c>
      <c r="S19" s="358" t="e">
        <f t="shared" si="3"/>
        <v>#REF!</v>
      </c>
      <c r="T19" s="363" t="e">
        <f>S19*'BASE DE CÁLCULO'!#REF!</f>
        <v>#REF!</v>
      </c>
    </row>
    <row r="20" spans="1:20" ht="15.9" customHeight="1">
      <c r="A20" s="327" t="s">
        <v>276</v>
      </c>
      <c r="B20" s="328" t="str">
        <f>[2]BASE!D33</f>
        <v xml:space="preserve">Motorista - Alegre </v>
      </c>
      <c r="C20" s="329">
        <v>11568</v>
      </c>
      <c r="D20" s="330">
        <v>1</v>
      </c>
      <c r="E20" s="329">
        <f t="shared" si="0"/>
        <v>11568</v>
      </c>
      <c r="F20" s="330">
        <v>4</v>
      </c>
      <c r="G20" s="326">
        <f>[2]BASE!E33</f>
        <v>4</v>
      </c>
      <c r="H20" s="322">
        <f t="shared" si="1"/>
        <v>46272</v>
      </c>
      <c r="I20" s="322">
        <f t="shared" si="2"/>
        <v>277632</v>
      </c>
      <c r="L20" s="361" t="s">
        <v>271</v>
      </c>
      <c r="M20" s="362">
        <f>'BASE DE CÁLCULO'!L33</f>
        <v>158.11000000000001</v>
      </c>
      <c r="N20" s="363" t="e">
        <f>#REF!</f>
        <v>#REF!</v>
      </c>
      <c r="O20" s="364">
        <v>1</v>
      </c>
      <c r="P20" s="363" t="e">
        <f t="shared" si="4"/>
        <v>#REF!</v>
      </c>
      <c r="Q20" s="319"/>
      <c r="R20" s="359">
        <f t="shared" si="5"/>
        <v>7</v>
      </c>
      <c r="S20" s="358" t="e">
        <f t="shared" si="3"/>
        <v>#REF!</v>
      </c>
      <c r="T20" s="363" t="e">
        <f>S20*'BASE DE CÁLCULO'!#REF!</f>
        <v>#REF!</v>
      </c>
    </row>
    <row r="21" spans="1:20" ht="15.9" customHeight="1">
      <c r="A21" s="327" t="s">
        <v>277</v>
      </c>
      <c r="B21" s="328" t="str">
        <f>[2]BASE!D34</f>
        <v>Operador de Trator até 15.000 Kg - São Mateus</v>
      </c>
      <c r="C21" s="329">
        <v>7407.26</v>
      </c>
      <c r="D21" s="330">
        <v>1</v>
      </c>
      <c r="E21" s="329">
        <f t="shared" si="0"/>
        <v>7407.26</v>
      </c>
      <c r="F21" s="330">
        <v>1</v>
      </c>
      <c r="G21" s="326">
        <f>[2]BASE!E34</f>
        <v>1</v>
      </c>
      <c r="H21" s="322">
        <f t="shared" si="1"/>
        <v>7407.26</v>
      </c>
      <c r="I21" s="322">
        <f t="shared" si="2"/>
        <v>44443.56</v>
      </c>
      <c r="L21" s="361" t="s">
        <v>272</v>
      </c>
      <c r="M21" s="362">
        <f>'BASE DE CÁLCULO'!L34</f>
        <v>158.11000000000001</v>
      </c>
      <c r="N21" s="363" t="e">
        <f>#REF!</f>
        <v>#REF!</v>
      </c>
      <c r="O21" s="364">
        <v>1</v>
      </c>
      <c r="P21" s="363" t="e">
        <f t="shared" si="4"/>
        <v>#REF!</v>
      </c>
      <c r="R21" s="359">
        <f t="shared" si="5"/>
        <v>15</v>
      </c>
      <c r="S21" s="358" t="e">
        <f t="shared" si="3"/>
        <v>#REF!</v>
      </c>
      <c r="T21" s="363" t="e">
        <f>S21*'BASE DE CÁLCULO'!#REF!</f>
        <v>#REF!</v>
      </c>
    </row>
    <row r="22" spans="1:20" s="319" customFormat="1" ht="15.9" customHeight="1">
      <c r="A22" s="327" t="s">
        <v>278</v>
      </c>
      <c r="B22" s="328" t="str">
        <f>[2]BASE!D35</f>
        <v>Operador de Trator até 15.000 Kg - Alegre</v>
      </c>
      <c r="C22" s="329">
        <v>7414.71</v>
      </c>
      <c r="D22" s="330">
        <v>1</v>
      </c>
      <c r="E22" s="329">
        <f t="shared" si="0"/>
        <v>7414.71</v>
      </c>
      <c r="F22" s="330">
        <v>1</v>
      </c>
      <c r="G22" s="326">
        <f>[2]BASE!E35</f>
        <v>1</v>
      </c>
      <c r="H22" s="322">
        <f t="shared" si="1"/>
        <v>7414.71</v>
      </c>
      <c r="I22" s="322">
        <f t="shared" si="2"/>
        <v>44488.26</v>
      </c>
      <c r="L22" s="361" t="s">
        <v>273</v>
      </c>
      <c r="M22" s="362" t="e">
        <f>'BASE DE CÁLCULO'!#REF!</f>
        <v>#REF!</v>
      </c>
      <c r="N22" s="363" t="e">
        <f>#REF!</f>
        <v>#REF!</v>
      </c>
      <c r="O22" s="364">
        <v>1</v>
      </c>
      <c r="P22" s="363" t="e">
        <f t="shared" si="4"/>
        <v>#REF!</v>
      </c>
      <c r="Q22"/>
      <c r="R22" s="359">
        <f t="shared" si="5"/>
        <v>0</v>
      </c>
      <c r="S22" s="358" t="e">
        <f t="shared" si="3"/>
        <v>#REF!</v>
      </c>
      <c r="T22" s="363" t="e">
        <f>S22*'BASE DE CÁLCULO'!#REF!</f>
        <v>#REF!</v>
      </c>
    </row>
    <row r="23" spans="1:20" s="319" customFormat="1" ht="15.9" customHeight="1">
      <c r="A23" s="327" t="s">
        <v>279</v>
      </c>
      <c r="B23" s="328" t="str">
        <f>[2]BASE!D36</f>
        <v>Eletricista  de Manutenção</v>
      </c>
      <c r="C23" s="329">
        <v>4666.96</v>
      </c>
      <c r="D23" s="330">
        <v>1</v>
      </c>
      <c r="E23" s="329">
        <f t="shared" si="0"/>
        <v>4666.96</v>
      </c>
      <c r="F23" s="323">
        <v>2</v>
      </c>
      <c r="G23" s="326">
        <v>3</v>
      </c>
      <c r="H23" s="322">
        <f t="shared" si="1"/>
        <v>9333.92</v>
      </c>
      <c r="I23" s="322">
        <f t="shared" si="2"/>
        <v>56003.519999999997</v>
      </c>
      <c r="J23" s="365"/>
      <c r="L23" s="361" t="s">
        <v>274</v>
      </c>
      <c r="M23" s="362">
        <f>'BASE DE CÁLCULO'!L35</f>
        <v>158.11000000000001</v>
      </c>
      <c r="N23" s="363" t="e">
        <f>#REF!</f>
        <v>#REF!</v>
      </c>
      <c r="O23" s="364">
        <v>1</v>
      </c>
      <c r="P23" s="363" t="e">
        <f t="shared" si="4"/>
        <v>#REF!</v>
      </c>
      <c r="Q23"/>
      <c r="R23" s="359">
        <f t="shared" si="5"/>
        <v>8</v>
      </c>
      <c r="S23" s="358" t="e">
        <f t="shared" si="3"/>
        <v>#REF!</v>
      </c>
      <c r="T23" s="363" t="e">
        <f>S23*'BASE DE CÁLCULO'!#REF!</f>
        <v>#REF!</v>
      </c>
    </row>
    <row r="24" spans="1:20" ht="15.9" customHeight="1">
      <c r="A24" s="327" t="s">
        <v>280</v>
      </c>
      <c r="B24" s="328" t="str">
        <f>[2]BASE!D37</f>
        <v>Mecânico Ajustador - Vitória</v>
      </c>
      <c r="C24" s="329">
        <v>5227.1899999999996</v>
      </c>
      <c r="D24" s="330">
        <v>1</v>
      </c>
      <c r="E24" s="329">
        <f t="shared" si="0"/>
        <v>5227.1899999999996</v>
      </c>
      <c r="F24" s="323">
        <v>1</v>
      </c>
      <c r="G24" s="326">
        <v>1</v>
      </c>
      <c r="H24" s="322">
        <f t="shared" si="1"/>
        <v>5227.1899999999996</v>
      </c>
      <c r="I24" s="322">
        <f t="shared" si="2"/>
        <v>31363.14</v>
      </c>
      <c r="L24" s="361" t="s">
        <v>275</v>
      </c>
      <c r="M24" s="362" t="e">
        <f>'BASE DE CÁLCULO'!#REF!</f>
        <v>#REF!</v>
      </c>
      <c r="N24" s="363" t="e">
        <f>#REF!</f>
        <v>#REF!</v>
      </c>
      <c r="O24" s="364">
        <v>1</v>
      </c>
      <c r="P24" s="363" t="e">
        <f t="shared" si="4"/>
        <v>#REF!</v>
      </c>
      <c r="R24" s="359">
        <f t="shared" si="5"/>
        <v>5</v>
      </c>
      <c r="S24" s="358" t="e">
        <f t="shared" si="3"/>
        <v>#REF!</v>
      </c>
      <c r="T24" s="363" t="e">
        <f>S24*'BASE DE CÁLCULO'!#REF!</f>
        <v>#REF!</v>
      </c>
    </row>
    <row r="25" spans="1:20" s="319" customFormat="1" ht="15.9" customHeight="1">
      <c r="A25" s="327" t="s">
        <v>281</v>
      </c>
      <c r="B25" s="328" t="str">
        <f>[2]BASE!D38</f>
        <v>Ajudante de Caminhão e Armazém - Vitória</v>
      </c>
      <c r="C25" s="329">
        <v>4310.76</v>
      </c>
      <c r="D25" s="330">
        <v>1</v>
      </c>
      <c r="E25" s="329">
        <f t="shared" si="0"/>
        <v>4310.76</v>
      </c>
      <c r="F25" s="323">
        <v>3</v>
      </c>
      <c r="G25" s="324">
        <v>4</v>
      </c>
      <c r="H25" s="322">
        <f t="shared" si="1"/>
        <v>12932.28</v>
      </c>
      <c r="I25" s="322">
        <f t="shared" si="2"/>
        <v>77593.679999999993</v>
      </c>
      <c r="L25" s="361" t="s">
        <v>276</v>
      </c>
      <c r="M25" s="362" t="e">
        <f>'BASE DE CÁLCULO'!#REF!</f>
        <v>#REF!</v>
      </c>
      <c r="N25" s="363" t="e">
        <f>#REF!</f>
        <v>#REF!</v>
      </c>
      <c r="O25" s="364">
        <v>1</v>
      </c>
      <c r="P25" s="363" t="e">
        <f t="shared" si="4"/>
        <v>#REF!</v>
      </c>
      <c r="Q25"/>
      <c r="R25" s="359">
        <f t="shared" si="5"/>
        <v>4</v>
      </c>
      <c r="S25" s="358" t="e">
        <f t="shared" si="3"/>
        <v>#REF!</v>
      </c>
      <c r="T25" s="363" t="e">
        <f>S25*'BASE DE CÁLCULO'!#REF!</f>
        <v>#REF!</v>
      </c>
    </row>
    <row r="26" spans="1:20" s="319" customFormat="1" ht="15.9" customHeight="1">
      <c r="A26" s="320" t="s">
        <v>282</v>
      </c>
      <c r="B26" s="332" t="str">
        <f>[2]BASE!B39</f>
        <v>Ajudante de Caminhão e Armazém - São Mateus</v>
      </c>
      <c r="C26" s="329">
        <v>3857.52</v>
      </c>
      <c r="D26" s="330">
        <v>1</v>
      </c>
      <c r="E26" s="329">
        <f t="shared" si="0"/>
        <v>3857.52</v>
      </c>
      <c r="F26" s="330">
        <v>1</v>
      </c>
      <c r="G26" s="326">
        <f>[2]BASE!E39</f>
        <v>1</v>
      </c>
      <c r="H26" s="322">
        <f t="shared" si="1"/>
        <v>3857.52</v>
      </c>
      <c r="I26" s="322">
        <f t="shared" si="2"/>
        <v>23145.119999999999</v>
      </c>
      <c r="L26" s="361" t="s">
        <v>277</v>
      </c>
      <c r="M26" s="362" t="e">
        <f>'BASE DE CÁLCULO'!#REF!</f>
        <v>#REF!</v>
      </c>
      <c r="N26" s="363" t="e">
        <f>#REF!</f>
        <v>#REF!</v>
      </c>
      <c r="O26" s="364">
        <v>1</v>
      </c>
      <c r="P26" s="363" t="e">
        <f t="shared" si="4"/>
        <v>#REF!</v>
      </c>
      <c r="Q26"/>
      <c r="R26" s="359">
        <f t="shared" si="5"/>
        <v>1</v>
      </c>
      <c r="S26" s="358" t="e">
        <f t="shared" si="3"/>
        <v>#REF!</v>
      </c>
      <c r="T26" s="363" t="e">
        <f>S26*'BASE DE CÁLCULO'!#REF!</f>
        <v>#REF!</v>
      </c>
    </row>
    <row r="27" spans="1:20" s="319" customFormat="1" ht="15.9" customHeight="1">
      <c r="A27" s="320" t="s">
        <v>283</v>
      </c>
      <c r="B27" s="332" t="str">
        <f>[2]BASE!B40</f>
        <v>Auxiliar de Manutenção Predial (Oficial)- Vitória</v>
      </c>
      <c r="C27" s="329">
        <v>4699.96</v>
      </c>
      <c r="D27" s="330">
        <v>1</v>
      </c>
      <c r="E27" s="329">
        <f t="shared" si="0"/>
        <v>4699.96</v>
      </c>
      <c r="F27" s="323">
        <v>4</v>
      </c>
      <c r="G27" s="324">
        <v>4</v>
      </c>
      <c r="H27" s="322">
        <f t="shared" si="1"/>
        <v>18799.84</v>
      </c>
      <c r="I27" s="322">
        <f t="shared" si="2"/>
        <v>112799.03999999999</v>
      </c>
      <c r="J27" s="366"/>
      <c r="L27" s="361" t="s">
        <v>278</v>
      </c>
      <c r="M27" s="362" t="e">
        <f>'BASE DE CÁLCULO'!#REF!</f>
        <v>#REF!</v>
      </c>
      <c r="N27" s="363" t="e">
        <f>#REF!</f>
        <v>#REF!</v>
      </c>
      <c r="O27" s="364">
        <v>1</v>
      </c>
      <c r="P27" s="363" t="e">
        <f t="shared" si="4"/>
        <v>#REF!</v>
      </c>
      <c r="R27" s="359">
        <f t="shared" si="5"/>
        <v>1</v>
      </c>
      <c r="S27" s="358" t="e">
        <f t="shared" si="3"/>
        <v>#REF!</v>
      </c>
      <c r="T27" s="363" t="e">
        <f>S27*'BASE DE CÁLCULO'!#REF!</f>
        <v>#REF!</v>
      </c>
    </row>
    <row r="28" spans="1:20" s="319" customFormat="1" ht="15.9" customHeight="1">
      <c r="A28" s="320" t="s">
        <v>284</v>
      </c>
      <c r="B28" s="332" t="str">
        <f>[2]BASE!B41</f>
        <v>Auxiliar de Manutenção Predial (Oficial)- São Mateus</v>
      </c>
      <c r="C28" s="329">
        <v>4664.2299999999996</v>
      </c>
      <c r="D28" s="330">
        <v>1</v>
      </c>
      <c r="E28" s="329">
        <f t="shared" si="0"/>
        <v>4664.2299999999996</v>
      </c>
      <c r="F28" s="330">
        <v>1</v>
      </c>
      <c r="G28" s="326">
        <f>[2]BASE!E41</f>
        <v>1</v>
      </c>
      <c r="H28" s="322">
        <f t="shared" si="1"/>
        <v>4664.2299999999996</v>
      </c>
      <c r="I28" s="322">
        <f t="shared" si="2"/>
        <v>27985.38</v>
      </c>
      <c r="L28" s="361" t="s">
        <v>279</v>
      </c>
      <c r="M28" s="362" t="e">
        <f>'BASE DE CÁLCULO'!#REF!</f>
        <v>#REF!</v>
      </c>
      <c r="N28" s="363" t="e">
        <f>#REF!</f>
        <v>#REF!</v>
      </c>
      <c r="O28" s="364">
        <v>1</v>
      </c>
      <c r="P28" s="363" t="e">
        <f t="shared" si="4"/>
        <v>#REF!</v>
      </c>
      <c r="R28" s="359">
        <f t="shared" si="5"/>
        <v>3</v>
      </c>
      <c r="S28" s="358" t="e">
        <f t="shared" si="3"/>
        <v>#REF!</v>
      </c>
      <c r="T28" s="363" t="e">
        <f>S28*'BASE DE CÁLCULO'!#REF!</f>
        <v>#REF!</v>
      </c>
    </row>
    <row r="29" spans="1:20" s="319" customFormat="1" ht="15.9" customHeight="1">
      <c r="A29" s="320" t="s">
        <v>285</v>
      </c>
      <c r="B29" s="332" t="str">
        <f>[2]BASE!B42</f>
        <v>Auxiliar de Manutenção Predial (Oficial) - Alegre</v>
      </c>
      <c r="C29" s="329">
        <v>4629.3</v>
      </c>
      <c r="D29" s="330">
        <v>1</v>
      </c>
      <c r="E29" s="329">
        <f t="shared" si="0"/>
        <v>4629.3</v>
      </c>
      <c r="F29" s="330">
        <v>2</v>
      </c>
      <c r="G29" s="326">
        <f>[2]BASE!E42</f>
        <v>2</v>
      </c>
      <c r="H29" s="322">
        <f t="shared" si="1"/>
        <v>9258.6</v>
      </c>
      <c r="I29" s="322">
        <f t="shared" si="2"/>
        <v>55551.6</v>
      </c>
      <c r="L29" s="361" t="s">
        <v>280</v>
      </c>
      <c r="M29" s="362" t="e">
        <f>'BASE DE CÁLCULO'!#REF!</f>
        <v>#REF!</v>
      </c>
      <c r="N29" s="363" t="e">
        <f>#REF!</f>
        <v>#REF!</v>
      </c>
      <c r="O29" s="364">
        <v>1</v>
      </c>
      <c r="P29" s="363" t="e">
        <f t="shared" si="4"/>
        <v>#REF!</v>
      </c>
      <c r="Q29"/>
      <c r="R29" s="359">
        <f t="shared" si="5"/>
        <v>1</v>
      </c>
      <c r="S29" s="358" t="e">
        <f t="shared" si="3"/>
        <v>#REF!</v>
      </c>
      <c r="T29" s="363" t="e">
        <f>S29*'BASE DE CÁLCULO'!#REF!</f>
        <v>#REF!</v>
      </c>
    </row>
    <row r="30" spans="1:20" ht="21" customHeight="1">
      <c r="A30" s="598"/>
      <c r="B30" s="598"/>
      <c r="C30" s="598"/>
      <c r="D30" s="598"/>
      <c r="E30" s="598"/>
      <c r="F30" s="333">
        <f>SUM(F2:F29)</f>
        <v>101</v>
      </c>
      <c r="G30" s="334">
        <f>SUM(G2:G29)</f>
        <v>97</v>
      </c>
      <c r="H30" s="335">
        <f>SUM(H2:H29)</f>
        <v>426714.08</v>
      </c>
      <c r="I30" s="335">
        <f>SUM(I2:I29)</f>
        <v>2560284.48</v>
      </c>
      <c r="J30" s="367"/>
      <c r="L30" s="361" t="s">
        <v>281</v>
      </c>
      <c r="M30" s="362" t="e">
        <f>'BASE DE CÁLCULO'!#REF!</f>
        <v>#REF!</v>
      </c>
      <c r="N30" s="363" t="e">
        <f>#REF!</f>
        <v>#REF!</v>
      </c>
      <c r="O30" s="364">
        <v>1</v>
      </c>
      <c r="P30" s="363" t="e">
        <f t="shared" si="4"/>
        <v>#REF!</v>
      </c>
      <c r="Q30" s="319"/>
      <c r="R30" s="359">
        <f t="shared" si="5"/>
        <v>4</v>
      </c>
      <c r="S30" s="358" t="e">
        <f t="shared" si="3"/>
        <v>#REF!</v>
      </c>
      <c r="T30" s="363" t="e">
        <f>S30*'BASE DE CÁLCULO'!#REF!</f>
        <v>#REF!</v>
      </c>
    </row>
    <row r="31" spans="1:20">
      <c r="L31" s="356" t="s">
        <v>282</v>
      </c>
      <c r="M31" s="368" t="e">
        <f>'BASE DE CÁLCULO'!#REF!</f>
        <v>#REF!</v>
      </c>
      <c r="N31" s="363" t="e">
        <f>#REF!</f>
        <v>#REF!</v>
      </c>
      <c r="O31" s="364">
        <v>1</v>
      </c>
      <c r="P31" s="363" t="e">
        <f t="shared" si="4"/>
        <v>#REF!</v>
      </c>
      <c r="Q31" s="319"/>
      <c r="R31" s="359">
        <f t="shared" si="5"/>
        <v>1</v>
      </c>
      <c r="S31" s="358" t="e">
        <f t="shared" si="3"/>
        <v>#REF!</v>
      </c>
      <c r="T31" s="363" t="e">
        <f>S31*'BASE DE CÁLCULO'!#REF!</f>
        <v>#REF!</v>
      </c>
    </row>
    <row r="32" spans="1:20" ht="51.75" customHeight="1">
      <c r="L32" s="356" t="s">
        <v>283</v>
      </c>
      <c r="M32" s="368" t="e">
        <f>'BASE DE CÁLCULO'!#REF!</f>
        <v>#REF!</v>
      </c>
      <c r="N32" s="363" t="e">
        <f>#REF!</f>
        <v>#REF!</v>
      </c>
      <c r="O32" s="364">
        <v>1</v>
      </c>
      <c r="P32" s="363" t="e">
        <f t="shared" si="4"/>
        <v>#REF!</v>
      </c>
      <c r="Q32" s="319"/>
      <c r="R32" s="359">
        <f t="shared" si="5"/>
        <v>4</v>
      </c>
      <c r="S32" s="358" t="e">
        <f t="shared" si="3"/>
        <v>#REF!</v>
      </c>
      <c r="T32" s="363" t="e">
        <f>S32*'BASE DE CÁLCULO'!#REF!</f>
        <v>#REF!</v>
      </c>
    </row>
    <row r="33" spans="1:20" ht="25.5" customHeight="1">
      <c r="A33" s="603" t="s">
        <v>286</v>
      </c>
      <c r="B33" s="604"/>
      <c r="C33" s="604"/>
      <c r="D33" s="604"/>
      <c r="E33" s="604"/>
      <c r="F33" s="604"/>
      <c r="G33" s="604"/>
      <c r="H33" s="604"/>
      <c r="I33" s="605"/>
      <c r="L33" s="356" t="s">
        <v>284</v>
      </c>
      <c r="M33" s="368" t="e">
        <f>'BASE DE CÁLCULO'!#REF!</f>
        <v>#REF!</v>
      </c>
      <c r="N33" s="363" t="e">
        <f>#REF!</f>
        <v>#REF!</v>
      </c>
      <c r="O33" s="364">
        <v>1</v>
      </c>
      <c r="P33" s="363" t="e">
        <f t="shared" si="4"/>
        <v>#REF!</v>
      </c>
      <c r="Q33" s="319"/>
      <c r="R33" s="359">
        <f t="shared" si="5"/>
        <v>1</v>
      </c>
      <c r="S33" s="358" t="e">
        <f t="shared" si="3"/>
        <v>#REF!</v>
      </c>
      <c r="T33" s="363" t="e">
        <f>S33*'BASE DE CÁLCULO'!#REF!</f>
        <v>#REF!</v>
      </c>
    </row>
    <row r="34" spans="1:20" ht="51.75" customHeight="1">
      <c r="A34" s="336" t="s">
        <v>244</v>
      </c>
      <c r="B34" s="321" t="str">
        <f>[2]BASE!D15</f>
        <v>Recepcionista - Vitória</v>
      </c>
      <c r="C34" s="322">
        <v>3441.18</v>
      </c>
      <c r="D34" s="323">
        <v>1</v>
      </c>
      <c r="E34" s="322">
        <f t="shared" ref="E34:E48" si="6">C34*D34</f>
        <v>3441.18</v>
      </c>
      <c r="F34" s="323">
        <v>19</v>
      </c>
      <c r="G34" s="324">
        <v>16</v>
      </c>
      <c r="H34" s="322">
        <f t="shared" ref="H34:H48" si="7">E34*F34</f>
        <v>65382.42</v>
      </c>
      <c r="I34" s="369">
        <f t="shared" ref="I34:I48" si="8">H34*6</f>
        <v>392294.52</v>
      </c>
      <c r="L34" s="356" t="s">
        <v>285</v>
      </c>
      <c r="M34" s="368" t="e">
        <f>'BASE DE CÁLCULO'!#REF!</f>
        <v>#REF!</v>
      </c>
      <c r="N34" s="363" t="e">
        <f>#REF!</f>
        <v>#REF!</v>
      </c>
      <c r="O34" s="364">
        <v>1</v>
      </c>
      <c r="P34" s="363" t="e">
        <f t="shared" si="4"/>
        <v>#REF!</v>
      </c>
      <c r="Q34" s="319"/>
      <c r="R34" s="359">
        <f t="shared" si="5"/>
        <v>2</v>
      </c>
      <c r="S34" s="358" t="e">
        <f t="shared" si="3"/>
        <v>#REF!</v>
      </c>
      <c r="T34" s="363" t="e">
        <f>S34*'BASE DE CÁLCULO'!#REF!</f>
        <v>#REF!</v>
      </c>
    </row>
    <row r="35" spans="1:20" ht="51.75" customHeight="1">
      <c r="A35" s="336" t="s">
        <v>252</v>
      </c>
      <c r="B35" s="321" t="str">
        <f>[2]BASE!D17</f>
        <v>Supervisor</v>
      </c>
      <c r="C35" s="322">
        <v>3632.41</v>
      </c>
      <c r="D35" s="323">
        <v>1</v>
      </c>
      <c r="E35" s="322">
        <f t="shared" si="6"/>
        <v>3632.41</v>
      </c>
      <c r="F35" s="323">
        <v>1</v>
      </c>
      <c r="G35" s="326">
        <v>1</v>
      </c>
      <c r="H35" s="322">
        <f t="shared" si="7"/>
        <v>3632.41</v>
      </c>
      <c r="I35" s="369">
        <f t="shared" si="8"/>
        <v>21794.46</v>
      </c>
      <c r="L35" s="606" t="s">
        <v>160</v>
      </c>
      <c r="M35" s="607"/>
      <c r="N35" s="607"/>
      <c r="O35" s="607"/>
      <c r="P35" s="608"/>
      <c r="R35" s="373">
        <f>SUM(R7:R34)</f>
        <v>97</v>
      </c>
      <c r="S35" s="374" t="e">
        <f>SUM(S7:S34)</f>
        <v>#REF!</v>
      </c>
      <c r="T35" s="375" t="e">
        <f>SUM(T7:T34)</f>
        <v>#REF!</v>
      </c>
    </row>
    <row r="36" spans="1:20" ht="15.75" customHeight="1">
      <c r="A36" s="336" t="s">
        <v>258</v>
      </c>
      <c r="B36" s="321" t="str">
        <f>[2]BASE!D18</f>
        <v>Lavador de Veículos Pesados - Vitória</v>
      </c>
      <c r="C36" s="322">
        <v>3348.02</v>
      </c>
      <c r="D36" s="323">
        <v>1</v>
      </c>
      <c r="E36" s="322">
        <f t="shared" si="6"/>
        <v>3348.02</v>
      </c>
      <c r="F36" s="323">
        <v>1</v>
      </c>
      <c r="G36" s="326">
        <v>1</v>
      </c>
      <c r="H36" s="322">
        <f t="shared" si="7"/>
        <v>3348.02</v>
      </c>
      <c r="I36" s="369">
        <f t="shared" si="8"/>
        <v>20088.12</v>
      </c>
    </row>
    <row r="37" spans="1:20">
      <c r="A37" s="336" t="s">
        <v>261</v>
      </c>
      <c r="B37" s="321" t="str">
        <f>[2]BASE!D19</f>
        <v>Almoxarife - Vitória</v>
      </c>
      <c r="C37" s="322">
        <v>3249.96</v>
      </c>
      <c r="D37" s="323">
        <v>1</v>
      </c>
      <c r="E37" s="322">
        <f t="shared" si="6"/>
        <v>3249.96</v>
      </c>
      <c r="F37" s="323">
        <v>2</v>
      </c>
      <c r="G37" s="326">
        <v>2</v>
      </c>
      <c r="H37" s="322">
        <f t="shared" si="7"/>
        <v>6499.92</v>
      </c>
      <c r="I37" s="369">
        <f t="shared" si="8"/>
        <v>38999.519999999997</v>
      </c>
    </row>
    <row r="38" spans="1:20">
      <c r="A38" s="336" t="s">
        <v>264</v>
      </c>
      <c r="B38" s="321" t="str">
        <f>[2]BASE!D21</f>
        <v>Piscineiro</v>
      </c>
      <c r="C38" s="322">
        <v>3582.54</v>
      </c>
      <c r="D38" s="323">
        <v>1</v>
      </c>
      <c r="E38" s="322">
        <f t="shared" si="6"/>
        <v>3582.54</v>
      </c>
      <c r="F38" s="323">
        <v>1</v>
      </c>
      <c r="G38" s="326">
        <v>1</v>
      </c>
      <c r="H38" s="322">
        <f t="shared" si="7"/>
        <v>3582.54</v>
      </c>
      <c r="I38" s="369">
        <f t="shared" si="8"/>
        <v>21495.24</v>
      </c>
    </row>
    <row r="39" spans="1:20">
      <c r="A39" s="336" t="s">
        <v>265</v>
      </c>
      <c r="B39" s="321" t="str">
        <f>[2]BASE!D22</f>
        <v>Copeiro - Vitória</v>
      </c>
      <c r="C39" s="322">
        <v>2690</v>
      </c>
      <c r="D39" s="323">
        <v>1</v>
      </c>
      <c r="E39" s="322">
        <f t="shared" si="6"/>
        <v>2690</v>
      </c>
      <c r="F39" s="323">
        <v>1</v>
      </c>
      <c r="G39" s="326">
        <v>1</v>
      </c>
      <c r="H39" s="322">
        <f t="shared" si="7"/>
        <v>2690</v>
      </c>
      <c r="I39" s="369">
        <f t="shared" si="8"/>
        <v>16140</v>
      </c>
    </row>
    <row r="40" spans="1:20">
      <c r="A40" s="336" t="s">
        <v>266</v>
      </c>
      <c r="B40" s="321" t="str">
        <f>[2]BASE!D23</f>
        <v>Contínuo (Office Boy) - Vitória</v>
      </c>
      <c r="C40" s="322">
        <v>2690</v>
      </c>
      <c r="D40" s="323">
        <v>1</v>
      </c>
      <c r="E40" s="322">
        <f t="shared" si="6"/>
        <v>2690</v>
      </c>
      <c r="F40" s="323">
        <v>3</v>
      </c>
      <c r="G40" s="326">
        <v>3</v>
      </c>
      <c r="H40" s="322">
        <f t="shared" si="7"/>
        <v>8070</v>
      </c>
      <c r="I40" s="369">
        <f t="shared" si="8"/>
        <v>48420</v>
      </c>
    </row>
    <row r="41" spans="1:20">
      <c r="A41" s="337" t="s">
        <v>269</v>
      </c>
      <c r="B41" s="328" t="str">
        <f>[2]BASE!D26</f>
        <v>Trabalhador Braçal - Vitória</v>
      </c>
      <c r="C41" s="329">
        <v>3471.37</v>
      </c>
      <c r="D41" s="330">
        <v>1</v>
      </c>
      <c r="E41" s="329">
        <f t="shared" si="6"/>
        <v>3471.37</v>
      </c>
      <c r="F41" s="323">
        <v>7</v>
      </c>
      <c r="G41" s="324">
        <v>3</v>
      </c>
      <c r="H41" s="322">
        <f t="shared" si="7"/>
        <v>24299.59</v>
      </c>
      <c r="I41" s="369">
        <f t="shared" si="8"/>
        <v>145797.54</v>
      </c>
    </row>
    <row r="42" spans="1:20">
      <c r="A42" s="337" t="s">
        <v>272</v>
      </c>
      <c r="B42" s="328" t="str">
        <f>[2]BASE!D29</f>
        <v>Porteiro - Vitória</v>
      </c>
      <c r="C42" s="329">
        <v>2867.51</v>
      </c>
      <c r="D42" s="330">
        <v>1</v>
      </c>
      <c r="E42" s="329">
        <f t="shared" si="6"/>
        <v>2867.51</v>
      </c>
      <c r="F42" s="323">
        <v>16</v>
      </c>
      <c r="G42" s="324">
        <v>15</v>
      </c>
      <c r="H42" s="322">
        <f t="shared" si="7"/>
        <v>45880.160000000003</v>
      </c>
      <c r="I42" s="369">
        <f t="shared" si="8"/>
        <v>275280.96000000002</v>
      </c>
    </row>
    <row r="43" spans="1:20">
      <c r="A43" s="337" t="s">
        <v>274</v>
      </c>
      <c r="B43" s="328" t="str">
        <f>[2]BASE!D31</f>
        <v>Auxiliar Odontológico - Vitória</v>
      </c>
      <c r="C43" s="329">
        <v>3132.47</v>
      </c>
      <c r="D43" s="330">
        <v>1</v>
      </c>
      <c r="E43" s="329">
        <f t="shared" si="6"/>
        <v>3132.47</v>
      </c>
      <c r="F43" s="323">
        <v>8</v>
      </c>
      <c r="G43" s="324">
        <v>8</v>
      </c>
      <c r="H43" s="322">
        <f t="shared" si="7"/>
        <v>25059.759999999998</v>
      </c>
      <c r="I43" s="369">
        <f t="shared" si="8"/>
        <v>150358.56</v>
      </c>
    </row>
    <row r="44" spans="1:20">
      <c r="A44" s="337" t="s">
        <v>275</v>
      </c>
      <c r="B44" s="328" t="str">
        <f>[2]BASE!D32</f>
        <v>Motorista - Vitória</v>
      </c>
      <c r="C44" s="329">
        <v>11568</v>
      </c>
      <c r="D44" s="330">
        <v>1</v>
      </c>
      <c r="E44" s="329">
        <f t="shared" si="6"/>
        <v>11568</v>
      </c>
      <c r="F44" s="323">
        <v>5</v>
      </c>
      <c r="G44" s="326">
        <v>5</v>
      </c>
      <c r="H44" s="322">
        <f t="shared" si="7"/>
        <v>57840</v>
      </c>
      <c r="I44" s="369">
        <f t="shared" si="8"/>
        <v>347040</v>
      </c>
    </row>
    <row r="45" spans="1:20">
      <c r="A45" s="337" t="s">
        <v>279</v>
      </c>
      <c r="B45" s="328" t="str">
        <f>[2]BASE!D36</f>
        <v>Eletricista  de Manutenção</v>
      </c>
      <c r="C45" s="329">
        <v>4666.96</v>
      </c>
      <c r="D45" s="330">
        <v>1</v>
      </c>
      <c r="E45" s="329">
        <f t="shared" si="6"/>
        <v>4666.96</v>
      </c>
      <c r="F45" s="323">
        <v>2</v>
      </c>
      <c r="G45" s="326">
        <v>3</v>
      </c>
      <c r="H45" s="322">
        <f t="shared" si="7"/>
        <v>9333.92</v>
      </c>
      <c r="I45" s="369">
        <f t="shared" si="8"/>
        <v>56003.519999999997</v>
      </c>
    </row>
    <row r="46" spans="1:20">
      <c r="A46" s="337" t="s">
        <v>280</v>
      </c>
      <c r="B46" s="328" t="str">
        <f>[2]BASE!D37</f>
        <v>Mecânico Ajustador - Vitória</v>
      </c>
      <c r="C46" s="329">
        <v>5227.1899999999996</v>
      </c>
      <c r="D46" s="330">
        <v>1</v>
      </c>
      <c r="E46" s="329">
        <f t="shared" si="6"/>
        <v>5227.1899999999996</v>
      </c>
      <c r="F46" s="323">
        <v>1</v>
      </c>
      <c r="G46" s="326">
        <v>1</v>
      </c>
      <c r="H46" s="322">
        <f t="shared" si="7"/>
        <v>5227.1899999999996</v>
      </c>
      <c r="I46" s="369">
        <f t="shared" si="8"/>
        <v>31363.14</v>
      </c>
    </row>
    <row r="47" spans="1:20">
      <c r="A47" s="337" t="s">
        <v>281</v>
      </c>
      <c r="B47" s="328" t="str">
        <f>[2]BASE!D38</f>
        <v>Ajudante de Caminhão e Armazém - Vitória</v>
      </c>
      <c r="C47" s="329">
        <v>4310.76</v>
      </c>
      <c r="D47" s="330">
        <v>1</v>
      </c>
      <c r="E47" s="329">
        <f t="shared" si="6"/>
        <v>4310.76</v>
      </c>
      <c r="F47" s="323">
        <v>3</v>
      </c>
      <c r="G47" s="324">
        <v>4</v>
      </c>
      <c r="H47" s="322">
        <f t="shared" si="7"/>
        <v>12932.28</v>
      </c>
      <c r="I47" s="369">
        <f t="shared" si="8"/>
        <v>77593.679999999993</v>
      </c>
    </row>
    <row r="48" spans="1:20">
      <c r="A48" s="336" t="s">
        <v>283</v>
      </c>
      <c r="B48" s="332" t="str">
        <f>[2]BASE!B40</f>
        <v>Auxiliar de Manutenção Predial (Oficial)- Vitória</v>
      </c>
      <c r="C48" s="329">
        <v>4699.96</v>
      </c>
      <c r="D48" s="330">
        <v>1</v>
      </c>
      <c r="E48" s="329">
        <f t="shared" si="6"/>
        <v>4699.96</v>
      </c>
      <c r="F48" s="323">
        <v>4</v>
      </c>
      <c r="G48" s="324">
        <v>4</v>
      </c>
      <c r="H48" s="322">
        <f t="shared" si="7"/>
        <v>18799.84</v>
      </c>
      <c r="I48" s="369">
        <f t="shared" si="8"/>
        <v>112799.03999999999</v>
      </c>
    </row>
    <row r="49" spans="1:9" ht="16.2">
      <c r="A49" s="597"/>
      <c r="B49" s="598"/>
      <c r="C49" s="598"/>
      <c r="D49" s="598"/>
      <c r="E49" s="598"/>
      <c r="F49" s="333">
        <f>SUM(F34:F48)</f>
        <v>74</v>
      </c>
      <c r="G49" s="334">
        <f>SUM(G34:G48)</f>
        <v>68</v>
      </c>
      <c r="H49" s="335">
        <f>SUM(H34:H48)</f>
        <v>292578.05</v>
      </c>
      <c r="I49" s="370">
        <f>SUM(I34:I48)</f>
        <v>1755468.3</v>
      </c>
    </row>
    <row r="50" spans="1:9">
      <c r="A50" s="338"/>
      <c r="B50" s="339"/>
      <c r="C50" s="339"/>
      <c r="D50" s="339"/>
      <c r="E50" s="339"/>
      <c r="F50" s="339"/>
      <c r="G50" s="339"/>
      <c r="H50" s="339"/>
      <c r="I50" s="371"/>
    </row>
    <row r="51" spans="1:9">
      <c r="A51" s="338"/>
      <c r="B51" s="339"/>
      <c r="C51" s="339"/>
      <c r="D51" s="339"/>
      <c r="E51" s="339"/>
      <c r="F51" s="339"/>
      <c r="G51" s="339"/>
      <c r="H51" s="339"/>
      <c r="I51" s="371"/>
    </row>
    <row r="52" spans="1:9" ht="25.5" customHeight="1">
      <c r="A52" s="594" t="s">
        <v>287</v>
      </c>
      <c r="B52" s="595"/>
      <c r="C52" s="595"/>
      <c r="D52" s="595"/>
      <c r="E52" s="595"/>
      <c r="F52" s="595"/>
      <c r="G52" s="595"/>
      <c r="H52" s="595"/>
      <c r="I52" s="596"/>
    </row>
    <row r="53" spans="1:9">
      <c r="A53" s="336" t="s">
        <v>245</v>
      </c>
      <c r="B53" s="321" t="str">
        <f>[2]BASE!D16</f>
        <v>Recepcionista - Alegre</v>
      </c>
      <c r="C53" s="322">
        <v>3368.88</v>
      </c>
      <c r="D53" s="323">
        <v>1</v>
      </c>
      <c r="E53" s="322">
        <f t="shared" ref="E53:E59" si="9">C53*D53</f>
        <v>3368.88</v>
      </c>
      <c r="F53" s="325">
        <v>4</v>
      </c>
      <c r="G53" s="324">
        <v>6</v>
      </c>
      <c r="H53" s="322">
        <f t="shared" ref="H53:H59" si="10">E53*F53</f>
        <v>13475.52</v>
      </c>
      <c r="I53" s="369">
        <f t="shared" ref="I53:I59" si="11">H53*6</f>
        <v>80853.119999999995</v>
      </c>
    </row>
    <row r="54" spans="1:9">
      <c r="A54" s="336" t="s">
        <v>263</v>
      </c>
      <c r="B54" s="321" t="str">
        <f>[2]BASE!D20</f>
        <v>Almoxarife - Alegre</v>
      </c>
      <c r="C54" s="322">
        <v>3170.74</v>
      </c>
      <c r="D54" s="323">
        <v>1</v>
      </c>
      <c r="E54" s="322">
        <f t="shared" si="9"/>
        <v>3170.74</v>
      </c>
      <c r="F54" s="323">
        <v>1</v>
      </c>
      <c r="G54" s="326">
        <f>[2]BASE!E20</f>
        <v>1</v>
      </c>
      <c r="H54" s="322">
        <f t="shared" si="10"/>
        <v>3170.74</v>
      </c>
      <c r="I54" s="369">
        <f t="shared" si="11"/>
        <v>19024.439999999999</v>
      </c>
    </row>
    <row r="55" spans="1:9">
      <c r="A55" s="337" t="s">
        <v>268</v>
      </c>
      <c r="B55" s="328" t="str">
        <f>[2]BASE!D25</f>
        <v>Contínuo (Office Boy) - Alegre</v>
      </c>
      <c r="C55" s="329">
        <v>2590.59</v>
      </c>
      <c r="D55" s="330">
        <v>1</v>
      </c>
      <c r="E55" s="329">
        <f t="shared" si="9"/>
        <v>2590.59</v>
      </c>
      <c r="F55" s="330">
        <v>1</v>
      </c>
      <c r="G55" s="326">
        <f>[2]BASE!E25</f>
        <v>1</v>
      </c>
      <c r="H55" s="322">
        <f t="shared" si="10"/>
        <v>2590.59</v>
      </c>
      <c r="I55" s="369">
        <f t="shared" si="11"/>
        <v>15543.54</v>
      </c>
    </row>
    <row r="56" spans="1:9">
      <c r="A56" s="337" t="s">
        <v>271</v>
      </c>
      <c r="B56" s="328" t="str">
        <f>[2]BASE!D28</f>
        <v xml:space="preserve">Trabalhador Braçal - Alegre </v>
      </c>
      <c r="C56" s="329">
        <v>3371.96</v>
      </c>
      <c r="D56" s="330">
        <v>1</v>
      </c>
      <c r="E56" s="329">
        <f t="shared" si="9"/>
        <v>3371.96</v>
      </c>
      <c r="F56" s="331">
        <v>6</v>
      </c>
      <c r="G56" s="324">
        <v>7</v>
      </c>
      <c r="H56" s="322">
        <f t="shared" si="10"/>
        <v>20231.759999999998</v>
      </c>
      <c r="I56" s="369">
        <f t="shared" si="11"/>
        <v>121390.56</v>
      </c>
    </row>
    <row r="57" spans="1:9">
      <c r="A57" s="337" t="s">
        <v>276</v>
      </c>
      <c r="B57" s="328" t="str">
        <f>[2]BASE!D33</f>
        <v xml:space="preserve">Motorista - Alegre </v>
      </c>
      <c r="C57" s="329">
        <v>11568</v>
      </c>
      <c r="D57" s="330">
        <v>1</v>
      </c>
      <c r="E57" s="329">
        <f t="shared" si="9"/>
        <v>11568</v>
      </c>
      <c r="F57" s="330">
        <v>4</v>
      </c>
      <c r="G57" s="326">
        <f>[2]BASE!E33</f>
        <v>4</v>
      </c>
      <c r="H57" s="322">
        <f t="shared" si="10"/>
        <v>46272</v>
      </c>
      <c r="I57" s="369">
        <f t="shared" si="11"/>
        <v>277632</v>
      </c>
    </row>
    <row r="58" spans="1:9">
      <c r="A58" s="337" t="s">
        <v>278</v>
      </c>
      <c r="B58" s="328" t="str">
        <f>[2]BASE!D35</f>
        <v>Operador de Trator até 15.000 Kg - Alegre</v>
      </c>
      <c r="C58" s="329">
        <v>7414.71</v>
      </c>
      <c r="D58" s="330">
        <v>1</v>
      </c>
      <c r="E58" s="329">
        <f t="shared" si="9"/>
        <v>7414.71</v>
      </c>
      <c r="F58" s="330">
        <v>1</v>
      </c>
      <c r="G58" s="326">
        <f>[2]BASE!E35</f>
        <v>1</v>
      </c>
      <c r="H58" s="322">
        <f t="shared" si="10"/>
        <v>7414.71</v>
      </c>
      <c r="I58" s="369">
        <f t="shared" si="11"/>
        <v>44488.26</v>
      </c>
    </row>
    <row r="59" spans="1:9">
      <c r="A59" s="336" t="s">
        <v>285</v>
      </c>
      <c r="B59" s="332" t="str">
        <f>[2]BASE!B42</f>
        <v>Auxiliar de Manutenção Predial (Oficial) - Alegre</v>
      </c>
      <c r="C59" s="329">
        <v>4629.3</v>
      </c>
      <c r="D59" s="330">
        <v>1</v>
      </c>
      <c r="E59" s="329">
        <f t="shared" si="9"/>
        <v>4629.3</v>
      </c>
      <c r="F59" s="330">
        <v>2</v>
      </c>
      <c r="G59" s="326">
        <f>[2]BASE!E42</f>
        <v>2</v>
      </c>
      <c r="H59" s="322">
        <f t="shared" si="10"/>
        <v>9258.6</v>
      </c>
      <c r="I59" s="369">
        <f t="shared" si="11"/>
        <v>55551.6</v>
      </c>
    </row>
    <row r="60" spans="1:9" ht="16.2">
      <c r="A60" s="597"/>
      <c r="B60" s="598"/>
      <c r="C60" s="598"/>
      <c r="D60" s="598"/>
      <c r="E60" s="598"/>
      <c r="F60" s="333">
        <f>SUM(F53:F59)</f>
        <v>19</v>
      </c>
      <c r="G60" s="334">
        <f>SUM(G53:G59)</f>
        <v>22</v>
      </c>
      <c r="H60" s="335">
        <f>SUM(H53:H59)</f>
        <v>102413.92</v>
      </c>
      <c r="I60" s="370">
        <f>SUM(I53:I59)</f>
        <v>614483.52</v>
      </c>
    </row>
    <row r="61" spans="1:9">
      <c r="A61" s="338"/>
      <c r="B61" s="339"/>
      <c r="C61" s="339"/>
      <c r="D61" s="339"/>
      <c r="E61" s="339"/>
      <c r="F61" s="339"/>
      <c r="G61" s="339"/>
      <c r="H61" s="339"/>
      <c r="I61" s="371"/>
    </row>
    <row r="62" spans="1:9">
      <c r="A62" s="338"/>
      <c r="B62" s="339"/>
      <c r="C62" s="339"/>
      <c r="D62" s="339"/>
      <c r="E62" s="339"/>
      <c r="F62" s="339"/>
      <c r="G62" s="339"/>
      <c r="H62" s="339"/>
      <c r="I62" s="371"/>
    </row>
    <row r="63" spans="1:9" ht="25.5" customHeight="1">
      <c r="A63" s="594" t="s">
        <v>288</v>
      </c>
      <c r="B63" s="595"/>
      <c r="C63" s="595"/>
      <c r="D63" s="595"/>
      <c r="E63" s="595"/>
      <c r="F63" s="595"/>
      <c r="G63" s="595"/>
      <c r="H63" s="595"/>
      <c r="I63" s="596"/>
    </row>
    <row r="64" spans="1:9">
      <c r="A64" s="337" t="s">
        <v>267</v>
      </c>
      <c r="B64" s="328" t="str">
        <f>[2]BASE!D24</f>
        <v>Contínuo (Office Boy) - São Mateus</v>
      </c>
      <c r="C64" s="329">
        <v>2654.27</v>
      </c>
      <c r="D64" s="330">
        <v>1</v>
      </c>
      <c r="E64" s="329">
        <f t="shared" ref="E64:E69" si="12">C64*D64</f>
        <v>2654.27</v>
      </c>
      <c r="F64" s="330">
        <v>1</v>
      </c>
      <c r="G64" s="326">
        <f>[2]BASE!E24</f>
        <v>1</v>
      </c>
      <c r="H64" s="322">
        <f t="shared" ref="H64:H69" si="13">E64*F64</f>
        <v>2654.27</v>
      </c>
      <c r="I64" s="369">
        <f t="shared" ref="I64:I69" si="14">H64*6</f>
        <v>15925.62</v>
      </c>
    </row>
    <row r="65" spans="1:9">
      <c r="A65" s="337" t="s">
        <v>270</v>
      </c>
      <c r="B65" s="328" t="str">
        <f>[2]BASE!D27</f>
        <v>Trabalhador Braçal - São Mateus</v>
      </c>
      <c r="C65" s="329">
        <v>3435.68</v>
      </c>
      <c r="D65" s="330">
        <v>1</v>
      </c>
      <c r="E65" s="329">
        <f t="shared" si="12"/>
        <v>3435.68</v>
      </c>
      <c r="F65" s="330">
        <v>3</v>
      </c>
      <c r="G65" s="326">
        <f>[2]BASE!E27</f>
        <v>3</v>
      </c>
      <c r="H65" s="322">
        <f t="shared" si="13"/>
        <v>10307.040000000001</v>
      </c>
      <c r="I65" s="369">
        <f t="shared" si="14"/>
        <v>61842.239999999998</v>
      </c>
    </row>
    <row r="66" spans="1:9">
      <c r="A66" s="337" t="s">
        <v>273</v>
      </c>
      <c r="B66" s="328" t="str">
        <f>[2]BASE!D30</f>
        <v>Porteiro - São Mateus</v>
      </c>
      <c r="C66" s="329">
        <v>2831.79</v>
      </c>
      <c r="D66" s="330">
        <v>1</v>
      </c>
      <c r="E66" s="329">
        <f t="shared" si="12"/>
        <v>2831.79</v>
      </c>
      <c r="F66" s="330">
        <v>1</v>
      </c>
      <c r="G66" s="324">
        <v>0</v>
      </c>
      <c r="H66" s="322">
        <f t="shared" si="13"/>
        <v>2831.79</v>
      </c>
      <c r="I66" s="369">
        <f t="shared" si="14"/>
        <v>16990.740000000002</v>
      </c>
    </row>
    <row r="67" spans="1:9">
      <c r="A67" s="337" t="s">
        <v>277</v>
      </c>
      <c r="B67" s="328" t="str">
        <f>[2]BASE!D34</f>
        <v>Operador de Trator até 15.000 Kg - São Mateus</v>
      </c>
      <c r="C67" s="329">
        <v>7407.26</v>
      </c>
      <c r="D67" s="330">
        <v>1</v>
      </c>
      <c r="E67" s="329">
        <f t="shared" si="12"/>
        <v>7407.26</v>
      </c>
      <c r="F67" s="330">
        <v>1</v>
      </c>
      <c r="G67" s="326">
        <f>[2]BASE!E34</f>
        <v>1</v>
      </c>
      <c r="H67" s="322">
        <f t="shared" si="13"/>
        <v>7407.26</v>
      </c>
      <c r="I67" s="369">
        <f t="shared" si="14"/>
        <v>44443.56</v>
      </c>
    </row>
    <row r="68" spans="1:9">
      <c r="A68" s="336" t="s">
        <v>282</v>
      </c>
      <c r="B68" s="332" t="str">
        <f>[2]BASE!B39</f>
        <v>Ajudante de Caminhão e Armazém - São Mateus</v>
      </c>
      <c r="C68" s="329">
        <v>3857.52</v>
      </c>
      <c r="D68" s="330">
        <v>1</v>
      </c>
      <c r="E68" s="329">
        <f t="shared" si="12"/>
        <v>3857.52</v>
      </c>
      <c r="F68" s="330">
        <v>1</v>
      </c>
      <c r="G68" s="326">
        <f>[2]BASE!E39</f>
        <v>1</v>
      </c>
      <c r="H68" s="322">
        <f t="shared" si="13"/>
        <v>3857.52</v>
      </c>
      <c r="I68" s="369">
        <f t="shared" si="14"/>
        <v>23145.119999999999</v>
      </c>
    </row>
    <row r="69" spans="1:9">
      <c r="A69" s="336" t="s">
        <v>284</v>
      </c>
      <c r="B69" s="332" t="str">
        <f>[2]BASE!B41</f>
        <v>Auxiliar de Manutenção Predial (Oficial)- São Mateus</v>
      </c>
      <c r="C69" s="329">
        <v>4664.2299999999996</v>
      </c>
      <c r="D69" s="330">
        <v>1</v>
      </c>
      <c r="E69" s="329">
        <f t="shared" si="12"/>
        <v>4664.2299999999996</v>
      </c>
      <c r="F69" s="330">
        <v>1</v>
      </c>
      <c r="G69" s="326">
        <f>[2]BASE!E41</f>
        <v>1</v>
      </c>
      <c r="H69" s="322">
        <f t="shared" si="13"/>
        <v>4664.2299999999996</v>
      </c>
      <c r="I69" s="369">
        <f t="shared" si="14"/>
        <v>27985.38</v>
      </c>
    </row>
    <row r="70" spans="1:9" ht="16.2">
      <c r="A70" s="597"/>
      <c r="B70" s="598"/>
      <c r="C70" s="598"/>
      <c r="D70" s="598"/>
      <c r="E70" s="598"/>
      <c r="F70" s="333">
        <f>SUM(F64:F69)</f>
        <v>8</v>
      </c>
      <c r="G70" s="334">
        <f>SUM(G64:G69)</f>
        <v>7</v>
      </c>
      <c r="H70" s="335">
        <f>SUM(H64:H69)</f>
        <v>31722.11</v>
      </c>
      <c r="I70" s="370">
        <f>SUM(I64:I69)</f>
        <v>190332.66</v>
      </c>
    </row>
    <row r="71" spans="1:9">
      <c r="A71" s="338"/>
      <c r="B71" s="339"/>
      <c r="C71" s="339"/>
      <c r="D71" s="339"/>
      <c r="E71" s="339"/>
      <c r="F71" s="339"/>
      <c r="G71" s="339"/>
      <c r="H71" s="339"/>
      <c r="I71" s="371"/>
    </row>
    <row r="72" spans="1:9">
      <c r="A72" s="338"/>
      <c r="B72" s="339"/>
      <c r="C72" s="339"/>
      <c r="D72" s="339"/>
      <c r="E72" s="339"/>
      <c r="F72" s="339"/>
      <c r="G72" s="339"/>
      <c r="H72" s="339"/>
      <c r="I72" s="371"/>
    </row>
    <row r="73" spans="1:9">
      <c r="A73" s="338"/>
      <c r="B73" s="339"/>
      <c r="C73" s="339"/>
      <c r="D73" s="339"/>
      <c r="E73" s="339"/>
      <c r="F73" s="339"/>
      <c r="G73" s="339"/>
      <c r="H73" s="339"/>
      <c r="I73" s="371"/>
    </row>
    <row r="74" spans="1:9">
      <c r="A74" s="376"/>
      <c r="B74" s="377"/>
      <c r="C74" s="377"/>
      <c r="D74" s="377"/>
      <c r="E74" s="377"/>
      <c r="F74" s="378">
        <f>SUM(F49,F60,F70)</f>
        <v>101</v>
      </c>
      <c r="G74" s="378">
        <f>SUM(G49,G60,G70)</f>
        <v>97</v>
      </c>
      <c r="H74" s="378">
        <f>SUM(H49,H60,H70)</f>
        <v>426714.08</v>
      </c>
      <c r="I74" s="379">
        <f>SUM(I49,I60,I70)</f>
        <v>2560284.48</v>
      </c>
    </row>
  </sheetData>
  <mergeCells count="10">
    <mergeCell ref="A52:I52"/>
    <mergeCell ref="A60:E60"/>
    <mergeCell ref="A63:I63"/>
    <mergeCell ref="A70:E70"/>
    <mergeCell ref="A1:I1"/>
    <mergeCell ref="L1:T1"/>
    <mergeCell ref="A30:E30"/>
    <mergeCell ref="A33:I33"/>
    <mergeCell ref="L35:P35"/>
    <mergeCell ref="A49:E49"/>
  </mergeCells>
  <pageMargins left="0.511811024" right="0.511811024" top="0.78740157499999996" bottom="0.78740157499999996" header="0.31496062000000002" footer="0.31496062000000002"/>
  <pageSetup paperSize="9" scale="5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4"/>
  <sheetViews>
    <sheetView topLeftCell="A52" zoomScale="70" zoomScaleSheetLayoutView="55" workbookViewId="0">
      <selection activeCell="D41" sqref="D41:E41"/>
    </sheetView>
  </sheetViews>
  <sheetFormatPr defaultColWidth="9.109375" defaultRowHeight="13.2"/>
  <cols>
    <col min="1" max="1" width="8.88671875" customWidth="1"/>
    <col min="2" max="2" width="52.88671875" bestFit="1" customWidth="1"/>
    <col min="3" max="4" width="16.88671875" customWidth="1"/>
    <col min="5" max="6" width="16.5546875" customWidth="1"/>
    <col min="7" max="7" width="17.33203125" customWidth="1"/>
    <col min="8" max="8" width="21.109375" customWidth="1"/>
    <col min="9" max="9" width="20.6640625" customWidth="1"/>
    <col min="10" max="10" width="16" bestFit="1" customWidth="1"/>
    <col min="11" max="11" width="16" customWidth="1"/>
    <col min="12" max="12" width="15.5546875" customWidth="1"/>
    <col min="13" max="13" width="9.33203125" bestFit="1" customWidth="1"/>
    <col min="14" max="14" width="11.88671875" bestFit="1" customWidth="1"/>
    <col min="15" max="15" width="9.33203125" bestFit="1" customWidth="1"/>
    <col min="16" max="16" width="11.88671875" bestFit="1" customWidth="1"/>
    <col min="18" max="18" width="9.33203125" bestFit="1" customWidth="1"/>
    <col min="19" max="19" width="39.33203125" bestFit="1" customWidth="1"/>
    <col min="20" max="20" width="43.109375" bestFit="1" customWidth="1"/>
  </cols>
  <sheetData>
    <row r="1" spans="1:20" ht="40.5" customHeight="1">
      <c r="A1" s="599" t="s">
        <v>242</v>
      </c>
      <c r="B1" s="595"/>
      <c r="C1" s="595"/>
      <c r="D1" s="595"/>
      <c r="E1" s="595"/>
      <c r="F1" s="595"/>
      <c r="G1" s="595"/>
      <c r="H1" s="595"/>
      <c r="I1" s="595"/>
      <c r="L1" s="600" t="s">
        <v>243</v>
      </c>
      <c r="M1" s="601"/>
      <c r="N1" s="601"/>
      <c r="O1" s="601"/>
      <c r="P1" s="601"/>
      <c r="Q1" s="601"/>
      <c r="R1" s="601"/>
      <c r="S1" s="601"/>
      <c r="T1" s="602"/>
    </row>
    <row r="2" spans="1:20" ht="15.9" customHeight="1">
      <c r="A2" s="320" t="s">
        <v>244</v>
      </c>
      <c r="B2" s="321" t="str">
        <f>[2]BASE!D15</f>
        <v>Recepcionista - Vitória</v>
      </c>
      <c r="C2" s="322">
        <v>3441.18</v>
      </c>
      <c r="D2" s="323">
        <v>1</v>
      </c>
      <c r="E2" s="322">
        <f t="shared" ref="E2:E29" si="0">C2*D2</f>
        <v>3441.18</v>
      </c>
      <c r="F2" s="323">
        <v>19</v>
      </c>
      <c r="G2" s="324">
        <v>16</v>
      </c>
      <c r="H2" s="322">
        <f>E2*F2</f>
        <v>65382.42</v>
      </c>
      <c r="I2" s="322">
        <f>H2*6</f>
        <v>392294.52</v>
      </c>
      <c r="J2" s="340"/>
      <c r="L2" s="341"/>
      <c r="M2" s="342"/>
      <c r="N2" s="342"/>
      <c r="O2" s="342"/>
      <c r="P2" s="342"/>
      <c r="R2" s="342"/>
      <c r="S2" s="342"/>
    </row>
    <row r="3" spans="1:20" ht="15.9" customHeight="1">
      <c r="A3" s="320" t="s">
        <v>245</v>
      </c>
      <c r="B3" s="321" t="str">
        <f>[2]BASE!D16</f>
        <v>Recepcionista - Alegre</v>
      </c>
      <c r="C3" s="322">
        <v>3368.88</v>
      </c>
      <c r="D3" s="323">
        <v>1</v>
      </c>
      <c r="E3" s="322">
        <f t="shared" si="0"/>
        <v>3368.88</v>
      </c>
      <c r="F3" s="325">
        <v>4</v>
      </c>
      <c r="G3" s="324">
        <v>6</v>
      </c>
      <c r="H3" s="322">
        <f t="shared" ref="H3:H29" si="1">E3*F3</f>
        <v>13475.52</v>
      </c>
      <c r="I3" s="322">
        <f t="shared" ref="I3:I29" si="2">H3*6</f>
        <v>80853.119999999995</v>
      </c>
      <c r="J3" s="340"/>
      <c r="L3" s="343"/>
      <c r="M3" s="344"/>
      <c r="N3" s="345" t="s">
        <v>246</v>
      </c>
      <c r="O3" s="346" t="s">
        <v>247</v>
      </c>
      <c r="P3" s="346" t="s">
        <v>248</v>
      </c>
      <c r="R3" s="346" t="s">
        <v>249</v>
      </c>
      <c r="S3" s="346" t="s">
        <v>250</v>
      </c>
      <c r="T3" s="346" t="s">
        <v>251</v>
      </c>
    </row>
    <row r="4" spans="1:20" ht="15.9" customHeight="1">
      <c r="A4" s="320" t="s">
        <v>252</v>
      </c>
      <c r="B4" s="321" t="str">
        <f>[2]BASE!D17</f>
        <v>Supervisor</v>
      </c>
      <c r="C4" s="322">
        <v>3632.41</v>
      </c>
      <c r="D4" s="323">
        <v>1</v>
      </c>
      <c r="E4" s="322">
        <f t="shared" si="0"/>
        <v>3632.41</v>
      </c>
      <c r="F4" s="323">
        <v>1</v>
      </c>
      <c r="G4" s="326">
        <v>1</v>
      </c>
      <c r="H4" s="322">
        <f t="shared" si="1"/>
        <v>3632.41</v>
      </c>
      <c r="I4" s="322">
        <f t="shared" si="2"/>
        <v>21794.46</v>
      </c>
      <c r="L4" s="347" t="s">
        <v>253</v>
      </c>
      <c r="M4" s="348"/>
      <c r="N4" s="349" t="s">
        <v>254</v>
      </c>
      <c r="O4" s="349" t="s">
        <v>255</v>
      </c>
      <c r="P4" s="349" t="s">
        <v>256</v>
      </c>
      <c r="R4" s="349" t="s">
        <v>257</v>
      </c>
      <c r="S4" s="372"/>
      <c r="T4" s="372"/>
    </row>
    <row r="5" spans="1:20" ht="15.9" customHeight="1">
      <c r="A5" s="320" t="s">
        <v>258</v>
      </c>
      <c r="B5" s="321" t="str">
        <f>[2]BASE!D18</f>
        <v>Lavador de Veículos Pesados - Vitória</v>
      </c>
      <c r="C5" s="322">
        <v>3348.02</v>
      </c>
      <c r="D5" s="323">
        <v>1</v>
      </c>
      <c r="E5" s="322">
        <f t="shared" si="0"/>
        <v>3348.02</v>
      </c>
      <c r="F5" s="323">
        <v>1</v>
      </c>
      <c r="G5" s="326">
        <v>1</v>
      </c>
      <c r="H5" s="322">
        <f t="shared" si="1"/>
        <v>3348.02</v>
      </c>
      <c r="I5" s="322">
        <f t="shared" si="2"/>
        <v>20088.12</v>
      </c>
      <c r="L5" s="350"/>
      <c r="M5" s="351"/>
      <c r="N5" s="352"/>
      <c r="O5" s="352"/>
      <c r="P5" s="352"/>
      <c r="R5" s="349" t="s">
        <v>259</v>
      </c>
      <c r="S5" s="349" t="s">
        <v>260</v>
      </c>
      <c r="T5" s="349" t="s">
        <v>260</v>
      </c>
    </row>
    <row r="6" spans="1:20" ht="15.9" customHeight="1">
      <c r="A6" s="320" t="s">
        <v>261</v>
      </c>
      <c r="B6" s="321" t="str">
        <f>[2]BASE!D19</f>
        <v>Almoxarife - Vitória</v>
      </c>
      <c r="C6" s="322">
        <v>3249.96</v>
      </c>
      <c r="D6" s="323">
        <v>1</v>
      </c>
      <c r="E6" s="322">
        <f t="shared" si="0"/>
        <v>3249.96</v>
      </c>
      <c r="F6" s="323">
        <v>2</v>
      </c>
      <c r="G6" s="326">
        <v>2</v>
      </c>
      <c r="H6" s="322">
        <f t="shared" si="1"/>
        <v>6499.92</v>
      </c>
      <c r="I6" s="322">
        <f t="shared" si="2"/>
        <v>38999.519999999997</v>
      </c>
      <c r="L6" s="353" t="s">
        <v>262</v>
      </c>
      <c r="M6" s="354"/>
      <c r="N6" s="355"/>
      <c r="O6" s="355"/>
      <c r="P6" s="355"/>
      <c r="R6" s="355"/>
      <c r="S6" s="355"/>
      <c r="T6" s="355"/>
    </row>
    <row r="7" spans="1:20" ht="15.9" customHeight="1">
      <c r="A7" s="320" t="s">
        <v>263</v>
      </c>
      <c r="B7" s="321" t="str">
        <f>[2]BASE!D20</f>
        <v>Almoxarife - Alegre</v>
      </c>
      <c r="C7" s="322">
        <v>3170.74</v>
      </c>
      <c r="D7" s="323">
        <v>1</v>
      </c>
      <c r="E7" s="322">
        <f t="shared" si="0"/>
        <v>3170.74</v>
      </c>
      <c r="F7" s="323">
        <v>1</v>
      </c>
      <c r="G7" s="326">
        <f>[2]BASE!E20</f>
        <v>1</v>
      </c>
      <c r="H7" s="322">
        <f t="shared" si="1"/>
        <v>3170.74</v>
      </c>
      <c r="I7" s="322">
        <f t="shared" si="2"/>
        <v>19024.439999999999</v>
      </c>
      <c r="L7" s="356" t="s">
        <v>244</v>
      </c>
      <c r="M7" s="357" t="e">
        <f>'BASE DE CÁLCULO'!#REF!</f>
        <v>#REF!</v>
      </c>
      <c r="N7" s="358" t="e">
        <f>#REF!</f>
        <v>#REF!</v>
      </c>
      <c r="O7" s="359">
        <v>1</v>
      </c>
      <c r="P7" s="358" t="e">
        <f>N7*O7</f>
        <v>#REF!</v>
      </c>
      <c r="R7" s="359">
        <f>G2</f>
        <v>16</v>
      </c>
      <c r="S7" s="358" t="e">
        <f t="shared" ref="S7:S34" si="3">P7*R7</f>
        <v>#REF!</v>
      </c>
      <c r="T7" s="358" t="e">
        <f>S7*'BASE DE CÁLCULO'!#REF!</f>
        <v>#REF!</v>
      </c>
    </row>
    <row r="8" spans="1:20" ht="15.9" customHeight="1">
      <c r="A8" s="320" t="s">
        <v>264</v>
      </c>
      <c r="B8" s="321" t="str">
        <f>[2]BASE!D21</f>
        <v>Piscineiro</v>
      </c>
      <c r="C8" s="322">
        <v>3582.54</v>
      </c>
      <c r="D8" s="323">
        <v>1</v>
      </c>
      <c r="E8" s="322">
        <f t="shared" si="0"/>
        <v>3582.54</v>
      </c>
      <c r="F8" s="323">
        <v>1</v>
      </c>
      <c r="G8" s="326">
        <v>1</v>
      </c>
      <c r="H8" s="322">
        <f t="shared" si="1"/>
        <v>3582.54</v>
      </c>
      <c r="I8" s="322">
        <f t="shared" si="2"/>
        <v>21495.24</v>
      </c>
      <c r="L8" s="356" t="s">
        <v>245</v>
      </c>
      <c r="M8" s="357" t="e">
        <f>'BASE DE CÁLCULO'!#REF!</f>
        <v>#REF!</v>
      </c>
      <c r="N8" s="358" t="e">
        <f>#REF!</f>
        <v>#REF!</v>
      </c>
      <c r="O8" s="359">
        <v>1</v>
      </c>
      <c r="P8" s="358" t="e">
        <f t="shared" ref="P8:P34" si="4">N8*O8</f>
        <v>#REF!</v>
      </c>
      <c r="R8" s="359">
        <f t="shared" ref="R8:R34" si="5">G3</f>
        <v>6</v>
      </c>
      <c r="S8" s="358" t="e">
        <f t="shared" si="3"/>
        <v>#REF!</v>
      </c>
      <c r="T8" s="358" t="e">
        <f>S8*'BASE DE CÁLCULO'!#REF!</f>
        <v>#REF!</v>
      </c>
    </row>
    <row r="9" spans="1:20" ht="15.9" customHeight="1">
      <c r="A9" s="320" t="s">
        <v>265</v>
      </c>
      <c r="B9" s="321" t="str">
        <f>[2]BASE!D22</f>
        <v>Copeiro - Vitória</v>
      </c>
      <c r="C9" s="322">
        <v>2690</v>
      </c>
      <c r="D9" s="323">
        <v>1</v>
      </c>
      <c r="E9" s="322">
        <f t="shared" si="0"/>
        <v>2690</v>
      </c>
      <c r="F9" s="323">
        <v>1</v>
      </c>
      <c r="G9" s="326">
        <v>1</v>
      </c>
      <c r="H9" s="322">
        <f t="shared" si="1"/>
        <v>2690</v>
      </c>
      <c r="I9" s="322">
        <f t="shared" si="2"/>
        <v>16140</v>
      </c>
      <c r="L9" s="356" t="s">
        <v>252</v>
      </c>
      <c r="M9" s="357" t="str">
        <f>'BASE DE CÁLCULO'!L22</f>
        <v>Cesta Básica</v>
      </c>
      <c r="N9" s="358" t="e">
        <f>#REF!</f>
        <v>#REF!</v>
      </c>
      <c r="O9" s="359">
        <v>1</v>
      </c>
      <c r="P9" s="358" t="e">
        <f t="shared" si="4"/>
        <v>#REF!</v>
      </c>
      <c r="R9" s="359">
        <f t="shared" si="5"/>
        <v>1</v>
      </c>
      <c r="S9" s="358" t="e">
        <f t="shared" si="3"/>
        <v>#REF!</v>
      </c>
      <c r="T9" s="358" t="e">
        <f>S9*'BASE DE CÁLCULO'!#REF!</f>
        <v>#REF!</v>
      </c>
    </row>
    <row r="10" spans="1:20" ht="15.9" customHeight="1">
      <c r="A10" s="320" t="s">
        <v>266</v>
      </c>
      <c r="B10" s="321" t="str">
        <f>[2]BASE!D23</f>
        <v>Contínuo (Office Boy) - Vitória</v>
      </c>
      <c r="C10" s="322">
        <v>2690</v>
      </c>
      <c r="D10" s="323">
        <v>1</v>
      </c>
      <c r="E10" s="322">
        <f t="shared" si="0"/>
        <v>2690</v>
      </c>
      <c r="F10" s="323">
        <v>3</v>
      </c>
      <c r="G10" s="326">
        <v>3</v>
      </c>
      <c r="H10" s="322">
        <f t="shared" si="1"/>
        <v>8070</v>
      </c>
      <c r="I10" s="322">
        <f t="shared" si="2"/>
        <v>48420</v>
      </c>
      <c r="L10" s="356" t="s">
        <v>258</v>
      </c>
      <c r="M10" s="357">
        <f>'BASE DE CÁLCULO'!L23</f>
        <v>158.11000000000001</v>
      </c>
      <c r="N10" s="358" t="e">
        <f>#REF!</f>
        <v>#REF!</v>
      </c>
      <c r="O10" s="359">
        <v>1</v>
      </c>
      <c r="P10" s="358" t="e">
        <f t="shared" si="4"/>
        <v>#REF!</v>
      </c>
      <c r="R10" s="359">
        <f t="shared" si="5"/>
        <v>1</v>
      </c>
      <c r="S10" s="358" t="e">
        <f t="shared" si="3"/>
        <v>#REF!</v>
      </c>
      <c r="T10" s="358" t="e">
        <f>S10*'BASE DE CÁLCULO'!#REF!</f>
        <v>#REF!</v>
      </c>
    </row>
    <row r="11" spans="1:20" s="319" customFormat="1" ht="15.9" customHeight="1">
      <c r="A11" s="327" t="s">
        <v>267</v>
      </c>
      <c r="B11" s="328" t="str">
        <f>[2]BASE!D24</f>
        <v>Contínuo (Office Boy) - São Mateus</v>
      </c>
      <c r="C11" s="329">
        <v>2654.27</v>
      </c>
      <c r="D11" s="330">
        <v>1</v>
      </c>
      <c r="E11" s="329">
        <f t="shared" si="0"/>
        <v>2654.27</v>
      </c>
      <c r="F11" s="330">
        <v>1</v>
      </c>
      <c r="G11" s="326">
        <f>[2]BASE!E24</f>
        <v>1</v>
      </c>
      <c r="H11" s="322">
        <f t="shared" si="1"/>
        <v>2654.27</v>
      </c>
      <c r="I11" s="322">
        <f t="shared" si="2"/>
        <v>15925.62</v>
      </c>
      <c r="L11" s="356" t="s">
        <v>261</v>
      </c>
      <c r="M11" s="357">
        <f>'BASE DE CÁLCULO'!L24</f>
        <v>158.11000000000001</v>
      </c>
      <c r="N11" s="358" t="e">
        <f>#REF!</f>
        <v>#REF!</v>
      </c>
      <c r="O11" s="359">
        <v>1</v>
      </c>
      <c r="P11" s="358" t="e">
        <f t="shared" si="4"/>
        <v>#REF!</v>
      </c>
      <c r="Q11"/>
      <c r="R11" s="359">
        <f t="shared" si="5"/>
        <v>2</v>
      </c>
      <c r="S11" s="358" t="e">
        <f t="shared" si="3"/>
        <v>#REF!</v>
      </c>
      <c r="T11" s="358" t="e">
        <f>S11*'BASE DE CÁLCULO'!#REF!</f>
        <v>#REF!</v>
      </c>
    </row>
    <row r="12" spans="1:20" s="319" customFormat="1" ht="15.9" customHeight="1">
      <c r="A12" s="327" t="s">
        <v>268</v>
      </c>
      <c r="B12" s="328" t="str">
        <f>[2]BASE!D25</f>
        <v>Contínuo (Office Boy) - Alegre</v>
      </c>
      <c r="C12" s="329">
        <v>2590.59</v>
      </c>
      <c r="D12" s="330">
        <v>1</v>
      </c>
      <c r="E12" s="329">
        <f t="shared" si="0"/>
        <v>2590.59</v>
      </c>
      <c r="F12" s="330">
        <v>1</v>
      </c>
      <c r="G12" s="326">
        <f>[2]BASE!E25</f>
        <v>1</v>
      </c>
      <c r="H12" s="322">
        <f t="shared" si="1"/>
        <v>2590.59</v>
      </c>
      <c r="I12" s="322">
        <f t="shared" si="2"/>
        <v>15543.54</v>
      </c>
      <c r="L12" s="356" t="s">
        <v>263</v>
      </c>
      <c r="M12" s="357">
        <f>'BASE DE CÁLCULO'!L25</f>
        <v>158.11000000000001</v>
      </c>
      <c r="N12" s="358" t="e">
        <f>#REF!</f>
        <v>#REF!</v>
      </c>
      <c r="O12" s="359">
        <v>1</v>
      </c>
      <c r="P12" s="358" t="e">
        <f t="shared" si="4"/>
        <v>#REF!</v>
      </c>
      <c r="Q12"/>
      <c r="R12" s="359">
        <f t="shared" si="5"/>
        <v>1</v>
      </c>
      <c r="S12" s="358" t="e">
        <f t="shared" si="3"/>
        <v>#REF!</v>
      </c>
      <c r="T12" s="358" t="e">
        <f>S12*'BASE DE CÁLCULO'!#REF!</f>
        <v>#REF!</v>
      </c>
    </row>
    <row r="13" spans="1:20" s="319" customFormat="1" ht="15.9" customHeight="1">
      <c r="A13" s="327" t="s">
        <v>269</v>
      </c>
      <c r="B13" s="328" t="str">
        <f>[2]BASE!D26</f>
        <v>Trabalhador Braçal - Vitória</v>
      </c>
      <c r="C13" s="329">
        <v>3471.37</v>
      </c>
      <c r="D13" s="330">
        <v>1</v>
      </c>
      <c r="E13" s="329">
        <f t="shared" si="0"/>
        <v>3471.37</v>
      </c>
      <c r="F13" s="323">
        <v>7</v>
      </c>
      <c r="G13" s="324">
        <v>3</v>
      </c>
      <c r="H13" s="322">
        <f t="shared" si="1"/>
        <v>24299.59</v>
      </c>
      <c r="I13" s="322">
        <f t="shared" si="2"/>
        <v>145797.54</v>
      </c>
      <c r="J13" s="340"/>
      <c r="L13" s="356" t="s">
        <v>264</v>
      </c>
      <c r="M13" s="357">
        <f>'BASE DE CÁLCULO'!L26</f>
        <v>158.11000000000001</v>
      </c>
      <c r="N13" s="358" t="e">
        <f>#REF!</f>
        <v>#REF!</v>
      </c>
      <c r="O13" s="359">
        <v>1</v>
      </c>
      <c r="P13" s="358" t="e">
        <f t="shared" si="4"/>
        <v>#REF!</v>
      </c>
      <c r="Q13"/>
      <c r="R13" s="359">
        <f t="shared" si="5"/>
        <v>1</v>
      </c>
      <c r="S13" s="358" t="e">
        <f t="shared" si="3"/>
        <v>#REF!</v>
      </c>
      <c r="T13" s="358" t="e">
        <f>S13*'BASE DE CÁLCULO'!#REF!</f>
        <v>#REF!</v>
      </c>
    </row>
    <row r="14" spans="1:20" s="319" customFormat="1" ht="15.9" customHeight="1">
      <c r="A14" s="327" t="s">
        <v>270</v>
      </c>
      <c r="B14" s="328" t="str">
        <f>[2]BASE!D27</f>
        <v>Trabalhador Braçal - São Mateus</v>
      </c>
      <c r="C14" s="329">
        <v>3435.68</v>
      </c>
      <c r="D14" s="330">
        <v>1</v>
      </c>
      <c r="E14" s="329">
        <f t="shared" si="0"/>
        <v>3435.68</v>
      </c>
      <c r="F14" s="330">
        <v>3</v>
      </c>
      <c r="G14" s="326">
        <f>[2]BASE!E27</f>
        <v>3</v>
      </c>
      <c r="H14" s="322">
        <f t="shared" si="1"/>
        <v>10307.040000000001</v>
      </c>
      <c r="I14" s="322">
        <f t="shared" si="2"/>
        <v>61842.239999999998</v>
      </c>
      <c r="L14" s="356" t="s">
        <v>265</v>
      </c>
      <c r="M14" s="357">
        <f>'BASE DE CÁLCULO'!L27</f>
        <v>158.11000000000001</v>
      </c>
      <c r="N14" s="358" t="e">
        <f>#REF!</f>
        <v>#REF!</v>
      </c>
      <c r="O14" s="359">
        <v>1</v>
      </c>
      <c r="P14" s="358" t="e">
        <f t="shared" si="4"/>
        <v>#REF!</v>
      </c>
      <c r="Q14"/>
      <c r="R14" s="359">
        <f t="shared" si="5"/>
        <v>1</v>
      </c>
      <c r="S14" s="358" t="e">
        <f t="shared" si="3"/>
        <v>#REF!</v>
      </c>
      <c r="T14" s="358" t="e">
        <f>S14*'BASE DE CÁLCULO'!#REF!</f>
        <v>#REF!</v>
      </c>
    </row>
    <row r="15" spans="1:20" s="319" customFormat="1" ht="15.9" customHeight="1">
      <c r="A15" s="327" t="s">
        <v>271</v>
      </c>
      <c r="B15" s="328" t="str">
        <f>[2]BASE!D28</f>
        <v xml:space="preserve">Trabalhador Braçal - Alegre </v>
      </c>
      <c r="C15" s="329">
        <v>3371.96</v>
      </c>
      <c r="D15" s="330">
        <v>1</v>
      </c>
      <c r="E15" s="329">
        <f t="shared" si="0"/>
        <v>3371.96</v>
      </c>
      <c r="F15" s="331">
        <v>6</v>
      </c>
      <c r="G15" s="324">
        <v>7</v>
      </c>
      <c r="H15" s="322">
        <f t="shared" si="1"/>
        <v>20231.759999999998</v>
      </c>
      <c r="I15" s="322">
        <f t="shared" si="2"/>
        <v>121390.56</v>
      </c>
      <c r="J15" s="340"/>
      <c r="L15" s="356" t="s">
        <v>266</v>
      </c>
      <c r="M15" s="357">
        <f>'BASE DE CÁLCULO'!L28</f>
        <v>158.11000000000001</v>
      </c>
      <c r="N15" s="358" t="e">
        <f>#REF!</f>
        <v>#REF!</v>
      </c>
      <c r="O15" s="359">
        <v>1</v>
      </c>
      <c r="P15" s="358" t="e">
        <f t="shared" si="4"/>
        <v>#REF!</v>
      </c>
      <c r="Q15"/>
      <c r="R15" s="359">
        <f t="shared" si="5"/>
        <v>3</v>
      </c>
      <c r="S15" s="358" t="e">
        <f t="shared" si="3"/>
        <v>#REF!</v>
      </c>
      <c r="T15" s="358" t="e">
        <f>S15*'BASE DE CÁLCULO'!#REF!</f>
        <v>#REF!</v>
      </c>
    </row>
    <row r="16" spans="1:20" ht="15.9" customHeight="1">
      <c r="A16" s="327" t="s">
        <v>272</v>
      </c>
      <c r="B16" s="328" t="str">
        <f>[2]BASE!D29</f>
        <v>Porteiro - Vitória</v>
      </c>
      <c r="C16" s="329">
        <v>2867.51</v>
      </c>
      <c r="D16" s="330">
        <v>1</v>
      </c>
      <c r="E16" s="329">
        <f t="shared" si="0"/>
        <v>2867.51</v>
      </c>
      <c r="F16" s="323">
        <v>16</v>
      </c>
      <c r="G16" s="324">
        <v>15</v>
      </c>
      <c r="H16" s="322">
        <f t="shared" si="1"/>
        <v>45880.160000000003</v>
      </c>
      <c r="I16" s="322">
        <f t="shared" si="2"/>
        <v>275280.96000000002</v>
      </c>
      <c r="J16" s="360"/>
      <c r="L16" s="361" t="s">
        <v>267</v>
      </c>
      <c r="M16" s="362">
        <f>'BASE DE CÁLCULO'!L29</f>
        <v>158.11000000000001</v>
      </c>
      <c r="N16" s="363" t="e">
        <f>#REF!</f>
        <v>#REF!</v>
      </c>
      <c r="O16" s="364">
        <v>1</v>
      </c>
      <c r="P16" s="363" t="e">
        <f t="shared" si="4"/>
        <v>#REF!</v>
      </c>
      <c r="Q16" s="319"/>
      <c r="R16" s="359">
        <f t="shared" si="5"/>
        <v>1</v>
      </c>
      <c r="S16" s="358" t="e">
        <f t="shared" si="3"/>
        <v>#REF!</v>
      </c>
      <c r="T16" s="363" t="e">
        <f>S16*'BASE DE CÁLCULO'!#REF!</f>
        <v>#REF!</v>
      </c>
    </row>
    <row r="17" spans="1:20" ht="15.9" customHeight="1">
      <c r="A17" s="327" t="s">
        <v>273</v>
      </c>
      <c r="B17" s="328" t="str">
        <f>[2]BASE!D30</f>
        <v>Porteiro - São Mateus</v>
      </c>
      <c r="C17" s="329">
        <v>2831.79</v>
      </c>
      <c r="D17" s="330">
        <v>1</v>
      </c>
      <c r="E17" s="329">
        <f t="shared" si="0"/>
        <v>2831.79</v>
      </c>
      <c r="F17" s="330">
        <v>1</v>
      </c>
      <c r="G17" s="324">
        <v>0</v>
      </c>
      <c r="H17" s="322">
        <f t="shared" si="1"/>
        <v>2831.79</v>
      </c>
      <c r="I17" s="322">
        <f t="shared" si="2"/>
        <v>16990.740000000002</v>
      </c>
      <c r="L17" s="361" t="s">
        <v>268</v>
      </c>
      <c r="M17" s="362">
        <f>'BASE DE CÁLCULO'!L30</f>
        <v>158.11000000000001</v>
      </c>
      <c r="N17" s="363" t="e">
        <f>#REF!</f>
        <v>#REF!</v>
      </c>
      <c r="O17" s="364">
        <v>1</v>
      </c>
      <c r="P17" s="363" t="e">
        <f t="shared" si="4"/>
        <v>#REF!</v>
      </c>
      <c r="Q17" s="319"/>
      <c r="R17" s="359">
        <f t="shared" si="5"/>
        <v>1</v>
      </c>
      <c r="S17" s="358" t="e">
        <f t="shared" si="3"/>
        <v>#REF!</v>
      </c>
      <c r="T17" s="363" t="e">
        <f>S17*'BASE DE CÁLCULO'!#REF!</f>
        <v>#REF!</v>
      </c>
    </row>
    <row r="18" spans="1:20" ht="15.9" customHeight="1">
      <c r="A18" s="327" t="s">
        <v>274</v>
      </c>
      <c r="B18" s="328" t="str">
        <f>[2]BASE!D31</f>
        <v>Auxiliar Odontológico - Vitória</v>
      </c>
      <c r="C18" s="329">
        <v>3132.47</v>
      </c>
      <c r="D18" s="330">
        <v>1</v>
      </c>
      <c r="E18" s="329">
        <f t="shared" si="0"/>
        <v>3132.47</v>
      </c>
      <c r="F18" s="323">
        <v>8</v>
      </c>
      <c r="G18" s="324">
        <v>8</v>
      </c>
      <c r="H18" s="322">
        <f t="shared" si="1"/>
        <v>25059.759999999998</v>
      </c>
      <c r="I18" s="322">
        <f t="shared" si="2"/>
        <v>150358.56</v>
      </c>
      <c r="J18" s="340"/>
      <c r="L18" s="361" t="s">
        <v>269</v>
      </c>
      <c r="M18" s="362">
        <f>'BASE DE CÁLCULO'!L31</f>
        <v>158.11000000000001</v>
      </c>
      <c r="N18" s="363" t="e">
        <f>#REF!</f>
        <v>#REF!</v>
      </c>
      <c r="O18" s="364">
        <v>1</v>
      </c>
      <c r="P18" s="363" t="e">
        <f t="shared" si="4"/>
        <v>#REF!</v>
      </c>
      <c r="Q18" s="319"/>
      <c r="R18" s="359">
        <f t="shared" si="5"/>
        <v>3</v>
      </c>
      <c r="S18" s="358" t="e">
        <f t="shared" si="3"/>
        <v>#REF!</v>
      </c>
      <c r="T18" s="363" t="e">
        <f>S18*'BASE DE CÁLCULO'!#REF!</f>
        <v>#REF!</v>
      </c>
    </row>
    <row r="19" spans="1:20" ht="15.9" customHeight="1">
      <c r="A19" s="327" t="s">
        <v>275</v>
      </c>
      <c r="B19" s="328" t="str">
        <f>[2]BASE!D32</f>
        <v>Motorista - Vitória</v>
      </c>
      <c r="C19" s="329">
        <v>11568</v>
      </c>
      <c r="D19" s="330">
        <v>1</v>
      </c>
      <c r="E19" s="329">
        <f t="shared" si="0"/>
        <v>11568</v>
      </c>
      <c r="F19" s="323">
        <v>5</v>
      </c>
      <c r="G19" s="326">
        <v>5</v>
      </c>
      <c r="H19" s="322">
        <f t="shared" si="1"/>
        <v>57840</v>
      </c>
      <c r="I19" s="322">
        <f t="shared" si="2"/>
        <v>347040</v>
      </c>
      <c r="L19" s="361" t="s">
        <v>270</v>
      </c>
      <c r="M19" s="362">
        <f>'BASE DE CÁLCULO'!L32</f>
        <v>158.11000000000001</v>
      </c>
      <c r="N19" s="363" t="e">
        <f>#REF!</f>
        <v>#REF!</v>
      </c>
      <c r="O19" s="364">
        <v>1</v>
      </c>
      <c r="P19" s="363" t="e">
        <f t="shared" si="4"/>
        <v>#REF!</v>
      </c>
      <c r="Q19" s="319"/>
      <c r="R19" s="359">
        <f t="shared" si="5"/>
        <v>3</v>
      </c>
      <c r="S19" s="358" t="e">
        <f t="shared" si="3"/>
        <v>#REF!</v>
      </c>
      <c r="T19" s="363" t="e">
        <f>S19*'BASE DE CÁLCULO'!#REF!</f>
        <v>#REF!</v>
      </c>
    </row>
    <row r="20" spans="1:20" ht="15.9" customHeight="1">
      <c r="A20" s="327" t="s">
        <v>276</v>
      </c>
      <c r="B20" s="328" t="str">
        <f>[2]BASE!D33</f>
        <v xml:space="preserve">Motorista - Alegre </v>
      </c>
      <c r="C20" s="329">
        <v>11568</v>
      </c>
      <c r="D20" s="330">
        <v>1</v>
      </c>
      <c r="E20" s="329">
        <f t="shared" si="0"/>
        <v>11568</v>
      </c>
      <c r="F20" s="330">
        <v>4</v>
      </c>
      <c r="G20" s="326">
        <f>[2]BASE!E33</f>
        <v>4</v>
      </c>
      <c r="H20" s="322">
        <f t="shared" si="1"/>
        <v>46272</v>
      </c>
      <c r="I20" s="322">
        <f t="shared" si="2"/>
        <v>277632</v>
      </c>
      <c r="L20" s="361" t="s">
        <v>271</v>
      </c>
      <c r="M20" s="362">
        <f>'BASE DE CÁLCULO'!L33</f>
        <v>158.11000000000001</v>
      </c>
      <c r="N20" s="363" t="e">
        <f>#REF!</f>
        <v>#REF!</v>
      </c>
      <c r="O20" s="364">
        <v>1</v>
      </c>
      <c r="P20" s="363" t="e">
        <f t="shared" si="4"/>
        <v>#REF!</v>
      </c>
      <c r="Q20" s="319"/>
      <c r="R20" s="359">
        <f t="shared" si="5"/>
        <v>7</v>
      </c>
      <c r="S20" s="358" t="e">
        <f t="shared" si="3"/>
        <v>#REF!</v>
      </c>
      <c r="T20" s="363" t="e">
        <f>S20*'BASE DE CÁLCULO'!#REF!</f>
        <v>#REF!</v>
      </c>
    </row>
    <row r="21" spans="1:20" ht="15.9" customHeight="1">
      <c r="A21" s="327" t="s">
        <v>277</v>
      </c>
      <c r="B21" s="328" t="str">
        <f>[2]BASE!D34</f>
        <v>Operador de Trator até 15.000 Kg - São Mateus</v>
      </c>
      <c r="C21" s="329">
        <v>7407.26</v>
      </c>
      <c r="D21" s="330">
        <v>1</v>
      </c>
      <c r="E21" s="329">
        <f t="shared" si="0"/>
        <v>7407.26</v>
      </c>
      <c r="F21" s="330">
        <v>1</v>
      </c>
      <c r="G21" s="326">
        <f>[2]BASE!E34</f>
        <v>1</v>
      </c>
      <c r="H21" s="322">
        <f t="shared" si="1"/>
        <v>7407.26</v>
      </c>
      <c r="I21" s="322">
        <f t="shared" si="2"/>
        <v>44443.56</v>
      </c>
      <c r="L21" s="361" t="s">
        <v>272</v>
      </c>
      <c r="M21" s="362">
        <f>'BASE DE CÁLCULO'!L34</f>
        <v>158.11000000000001</v>
      </c>
      <c r="N21" s="363" t="e">
        <f>#REF!</f>
        <v>#REF!</v>
      </c>
      <c r="O21" s="364">
        <v>1</v>
      </c>
      <c r="P21" s="363" t="e">
        <f t="shared" si="4"/>
        <v>#REF!</v>
      </c>
      <c r="R21" s="359">
        <f t="shared" si="5"/>
        <v>15</v>
      </c>
      <c r="S21" s="358" t="e">
        <f t="shared" si="3"/>
        <v>#REF!</v>
      </c>
      <c r="T21" s="363" t="e">
        <f>S21*'BASE DE CÁLCULO'!#REF!</f>
        <v>#REF!</v>
      </c>
    </row>
    <row r="22" spans="1:20" s="319" customFormat="1" ht="15.9" customHeight="1">
      <c r="A22" s="327" t="s">
        <v>278</v>
      </c>
      <c r="B22" s="328" t="str">
        <f>[2]BASE!D35</f>
        <v>Operador de Trator até 15.000 Kg - Alegre</v>
      </c>
      <c r="C22" s="329">
        <v>7414.71</v>
      </c>
      <c r="D22" s="330">
        <v>1</v>
      </c>
      <c r="E22" s="329">
        <f t="shared" si="0"/>
        <v>7414.71</v>
      </c>
      <c r="F22" s="330">
        <v>1</v>
      </c>
      <c r="G22" s="326">
        <f>[2]BASE!E35</f>
        <v>1</v>
      </c>
      <c r="H22" s="322">
        <f t="shared" si="1"/>
        <v>7414.71</v>
      </c>
      <c r="I22" s="322">
        <f t="shared" si="2"/>
        <v>44488.26</v>
      </c>
      <c r="L22" s="361" t="s">
        <v>273</v>
      </c>
      <c r="M22" s="362" t="e">
        <f>'BASE DE CÁLCULO'!#REF!</f>
        <v>#REF!</v>
      </c>
      <c r="N22" s="363" t="e">
        <f>#REF!</f>
        <v>#REF!</v>
      </c>
      <c r="O22" s="364">
        <v>1</v>
      </c>
      <c r="P22" s="363" t="e">
        <f t="shared" si="4"/>
        <v>#REF!</v>
      </c>
      <c r="Q22"/>
      <c r="R22" s="359">
        <f t="shared" si="5"/>
        <v>0</v>
      </c>
      <c r="S22" s="358" t="e">
        <f t="shared" si="3"/>
        <v>#REF!</v>
      </c>
      <c r="T22" s="363" t="e">
        <f>S22*'BASE DE CÁLCULO'!#REF!</f>
        <v>#REF!</v>
      </c>
    </row>
    <row r="23" spans="1:20" s="319" customFormat="1" ht="15.9" customHeight="1">
      <c r="A23" s="327" t="s">
        <v>279</v>
      </c>
      <c r="B23" s="328" t="str">
        <f>[2]BASE!D36</f>
        <v>Eletricista  de Manutenção</v>
      </c>
      <c r="C23" s="329">
        <v>4666.96</v>
      </c>
      <c r="D23" s="330">
        <v>1</v>
      </c>
      <c r="E23" s="329">
        <f t="shared" si="0"/>
        <v>4666.96</v>
      </c>
      <c r="F23" s="323">
        <v>2</v>
      </c>
      <c r="G23" s="326">
        <v>3</v>
      </c>
      <c r="H23" s="322">
        <f t="shared" si="1"/>
        <v>9333.92</v>
      </c>
      <c r="I23" s="322">
        <f t="shared" si="2"/>
        <v>56003.519999999997</v>
      </c>
      <c r="J23" s="365"/>
      <c r="L23" s="361" t="s">
        <v>274</v>
      </c>
      <c r="M23" s="362">
        <f>'BASE DE CÁLCULO'!L35</f>
        <v>158.11000000000001</v>
      </c>
      <c r="N23" s="363" t="e">
        <f>#REF!</f>
        <v>#REF!</v>
      </c>
      <c r="O23" s="364">
        <v>1</v>
      </c>
      <c r="P23" s="363" t="e">
        <f t="shared" si="4"/>
        <v>#REF!</v>
      </c>
      <c r="Q23"/>
      <c r="R23" s="359">
        <f t="shared" si="5"/>
        <v>8</v>
      </c>
      <c r="S23" s="358" t="e">
        <f t="shared" si="3"/>
        <v>#REF!</v>
      </c>
      <c r="T23" s="363" t="e">
        <f>S23*'BASE DE CÁLCULO'!#REF!</f>
        <v>#REF!</v>
      </c>
    </row>
    <row r="24" spans="1:20" ht="15.9" customHeight="1">
      <c r="A24" s="327" t="s">
        <v>280</v>
      </c>
      <c r="B24" s="328" t="str">
        <f>[2]BASE!D37</f>
        <v>Mecânico Ajustador - Vitória</v>
      </c>
      <c r="C24" s="329">
        <v>5227.1899999999996</v>
      </c>
      <c r="D24" s="330">
        <v>1</v>
      </c>
      <c r="E24" s="329">
        <f t="shared" si="0"/>
        <v>5227.1899999999996</v>
      </c>
      <c r="F24" s="323">
        <v>1</v>
      </c>
      <c r="G24" s="326">
        <v>1</v>
      </c>
      <c r="H24" s="322">
        <f t="shared" si="1"/>
        <v>5227.1899999999996</v>
      </c>
      <c r="I24" s="322">
        <f t="shared" si="2"/>
        <v>31363.14</v>
      </c>
      <c r="L24" s="361" t="s">
        <v>275</v>
      </c>
      <c r="M24" s="362" t="e">
        <f>'BASE DE CÁLCULO'!#REF!</f>
        <v>#REF!</v>
      </c>
      <c r="N24" s="363" t="e">
        <f>#REF!</f>
        <v>#REF!</v>
      </c>
      <c r="O24" s="364">
        <v>1</v>
      </c>
      <c r="P24" s="363" t="e">
        <f t="shared" si="4"/>
        <v>#REF!</v>
      </c>
      <c r="R24" s="359">
        <f t="shared" si="5"/>
        <v>5</v>
      </c>
      <c r="S24" s="358" t="e">
        <f t="shared" si="3"/>
        <v>#REF!</v>
      </c>
      <c r="T24" s="363" t="e">
        <f>S24*'BASE DE CÁLCULO'!#REF!</f>
        <v>#REF!</v>
      </c>
    </row>
    <row r="25" spans="1:20" s="319" customFormat="1" ht="15.9" customHeight="1">
      <c r="A25" s="327" t="s">
        <v>281</v>
      </c>
      <c r="B25" s="328" t="str">
        <f>[2]BASE!D38</f>
        <v>Ajudante de Caminhão e Armazém - Vitória</v>
      </c>
      <c r="C25" s="329">
        <v>4310.76</v>
      </c>
      <c r="D25" s="330">
        <v>1</v>
      </c>
      <c r="E25" s="329">
        <f t="shared" si="0"/>
        <v>4310.76</v>
      </c>
      <c r="F25" s="323">
        <v>3</v>
      </c>
      <c r="G25" s="324">
        <v>4</v>
      </c>
      <c r="H25" s="322">
        <f t="shared" si="1"/>
        <v>12932.28</v>
      </c>
      <c r="I25" s="322">
        <f t="shared" si="2"/>
        <v>77593.679999999993</v>
      </c>
      <c r="L25" s="361" t="s">
        <v>276</v>
      </c>
      <c r="M25" s="362" t="e">
        <f>'BASE DE CÁLCULO'!#REF!</f>
        <v>#REF!</v>
      </c>
      <c r="N25" s="363" t="e">
        <f>#REF!</f>
        <v>#REF!</v>
      </c>
      <c r="O25" s="364">
        <v>1</v>
      </c>
      <c r="P25" s="363" t="e">
        <f t="shared" si="4"/>
        <v>#REF!</v>
      </c>
      <c r="Q25"/>
      <c r="R25" s="359">
        <f t="shared" si="5"/>
        <v>4</v>
      </c>
      <c r="S25" s="358" t="e">
        <f t="shared" si="3"/>
        <v>#REF!</v>
      </c>
      <c r="T25" s="363" t="e">
        <f>S25*'BASE DE CÁLCULO'!#REF!</f>
        <v>#REF!</v>
      </c>
    </row>
    <row r="26" spans="1:20" s="319" customFormat="1" ht="15.9" customHeight="1">
      <c r="A26" s="320" t="s">
        <v>282</v>
      </c>
      <c r="B26" s="332" t="str">
        <f>[2]BASE!B39</f>
        <v>Ajudante de Caminhão e Armazém - São Mateus</v>
      </c>
      <c r="C26" s="329">
        <v>3857.52</v>
      </c>
      <c r="D26" s="330">
        <v>1</v>
      </c>
      <c r="E26" s="329">
        <f t="shared" si="0"/>
        <v>3857.52</v>
      </c>
      <c r="F26" s="330">
        <v>1</v>
      </c>
      <c r="G26" s="326">
        <f>[2]BASE!E39</f>
        <v>1</v>
      </c>
      <c r="H26" s="322">
        <f t="shared" si="1"/>
        <v>3857.52</v>
      </c>
      <c r="I26" s="322">
        <f t="shared" si="2"/>
        <v>23145.119999999999</v>
      </c>
      <c r="L26" s="361" t="s">
        <v>277</v>
      </c>
      <c r="M26" s="362" t="e">
        <f>'BASE DE CÁLCULO'!#REF!</f>
        <v>#REF!</v>
      </c>
      <c r="N26" s="363" t="e">
        <f>#REF!</f>
        <v>#REF!</v>
      </c>
      <c r="O26" s="364">
        <v>1</v>
      </c>
      <c r="P26" s="363" t="e">
        <f t="shared" si="4"/>
        <v>#REF!</v>
      </c>
      <c r="Q26"/>
      <c r="R26" s="359">
        <f t="shared" si="5"/>
        <v>1</v>
      </c>
      <c r="S26" s="358" t="e">
        <f t="shared" si="3"/>
        <v>#REF!</v>
      </c>
      <c r="T26" s="363" t="e">
        <f>S26*'BASE DE CÁLCULO'!#REF!</f>
        <v>#REF!</v>
      </c>
    </row>
    <row r="27" spans="1:20" s="319" customFormat="1" ht="15.9" customHeight="1">
      <c r="A27" s="320" t="s">
        <v>283</v>
      </c>
      <c r="B27" s="332" t="str">
        <f>[2]BASE!B40</f>
        <v>Auxiliar de Manutenção Predial (Oficial)- Vitória</v>
      </c>
      <c r="C27" s="329">
        <v>4699.96</v>
      </c>
      <c r="D27" s="330">
        <v>1</v>
      </c>
      <c r="E27" s="329">
        <f t="shared" si="0"/>
        <v>4699.96</v>
      </c>
      <c r="F27" s="323">
        <v>4</v>
      </c>
      <c r="G27" s="324">
        <v>4</v>
      </c>
      <c r="H27" s="322">
        <f t="shared" si="1"/>
        <v>18799.84</v>
      </c>
      <c r="I27" s="322">
        <f t="shared" si="2"/>
        <v>112799.03999999999</v>
      </c>
      <c r="J27" s="366"/>
      <c r="L27" s="361" t="s">
        <v>278</v>
      </c>
      <c r="M27" s="362" t="e">
        <f>'BASE DE CÁLCULO'!#REF!</f>
        <v>#REF!</v>
      </c>
      <c r="N27" s="363" t="e">
        <f>#REF!</f>
        <v>#REF!</v>
      </c>
      <c r="O27" s="364">
        <v>1</v>
      </c>
      <c r="P27" s="363" t="e">
        <f t="shared" si="4"/>
        <v>#REF!</v>
      </c>
      <c r="R27" s="359">
        <f t="shared" si="5"/>
        <v>1</v>
      </c>
      <c r="S27" s="358" t="e">
        <f t="shared" si="3"/>
        <v>#REF!</v>
      </c>
      <c r="T27" s="363" t="e">
        <f>S27*'BASE DE CÁLCULO'!#REF!</f>
        <v>#REF!</v>
      </c>
    </row>
    <row r="28" spans="1:20" s="319" customFormat="1" ht="15.9" customHeight="1">
      <c r="A28" s="320" t="s">
        <v>284</v>
      </c>
      <c r="B28" s="332" t="str">
        <f>[2]BASE!B41</f>
        <v>Auxiliar de Manutenção Predial (Oficial)- São Mateus</v>
      </c>
      <c r="C28" s="329">
        <v>4664.2299999999996</v>
      </c>
      <c r="D28" s="330">
        <v>1</v>
      </c>
      <c r="E28" s="329">
        <f t="shared" si="0"/>
        <v>4664.2299999999996</v>
      </c>
      <c r="F28" s="330">
        <v>1</v>
      </c>
      <c r="G28" s="326">
        <f>[2]BASE!E41</f>
        <v>1</v>
      </c>
      <c r="H28" s="322">
        <f t="shared" si="1"/>
        <v>4664.2299999999996</v>
      </c>
      <c r="I28" s="322">
        <f t="shared" si="2"/>
        <v>27985.38</v>
      </c>
      <c r="L28" s="361" t="s">
        <v>279</v>
      </c>
      <c r="M28" s="362" t="e">
        <f>'BASE DE CÁLCULO'!#REF!</f>
        <v>#REF!</v>
      </c>
      <c r="N28" s="363" t="e">
        <f>#REF!</f>
        <v>#REF!</v>
      </c>
      <c r="O28" s="364">
        <v>1</v>
      </c>
      <c r="P28" s="363" t="e">
        <f t="shared" si="4"/>
        <v>#REF!</v>
      </c>
      <c r="R28" s="359">
        <f t="shared" si="5"/>
        <v>3</v>
      </c>
      <c r="S28" s="358" t="e">
        <f t="shared" si="3"/>
        <v>#REF!</v>
      </c>
      <c r="T28" s="363" t="e">
        <f>S28*'BASE DE CÁLCULO'!#REF!</f>
        <v>#REF!</v>
      </c>
    </row>
    <row r="29" spans="1:20" s="319" customFormat="1" ht="15.9" customHeight="1">
      <c r="A29" s="320" t="s">
        <v>285</v>
      </c>
      <c r="B29" s="332" t="str">
        <f>[2]BASE!B42</f>
        <v>Auxiliar de Manutenção Predial (Oficial) - Alegre</v>
      </c>
      <c r="C29" s="329">
        <v>4629.3</v>
      </c>
      <c r="D29" s="330">
        <v>1</v>
      </c>
      <c r="E29" s="329">
        <f t="shared" si="0"/>
        <v>4629.3</v>
      </c>
      <c r="F29" s="330">
        <v>2</v>
      </c>
      <c r="G29" s="326">
        <f>[2]BASE!E42</f>
        <v>2</v>
      </c>
      <c r="H29" s="322">
        <f t="shared" si="1"/>
        <v>9258.6</v>
      </c>
      <c r="I29" s="322">
        <f t="shared" si="2"/>
        <v>55551.6</v>
      </c>
      <c r="L29" s="361" t="s">
        <v>280</v>
      </c>
      <c r="M29" s="362" t="e">
        <f>'BASE DE CÁLCULO'!#REF!</f>
        <v>#REF!</v>
      </c>
      <c r="N29" s="363" t="e">
        <f>#REF!</f>
        <v>#REF!</v>
      </c>
      <c r="O29" s="364">
        <v>1</v>
      </c>
      <c r="P29" s="363" t="e">
        <f t="shared" si="4"/>
        <v>#REF!</v>
      </c>
      <c r="Q29"/>
      <c r="R29" s="359">
        <f t="shared" si="5"/>
        <v>1</v>
      </c>
      <c r="S29" s="358" t="e">
        <f t="shared" si="3"/>
        <v>#REF!</v>
      </c>
      <c r="T29" s="363" t="e">
        <f>S29*'BASE DE CÁLCULO'!#REF!</f>
        <v>#REF!</v>
      </c>
    </row>
    <row r="30" spans="1:20" ht="21" customHeight="1">
      <c r="A30" s="598"/>
      <c r="B30" s="598"/>
      <c r="C30" s="598"/>
      <c r="D30" s="598"/>
      <c r="E30" s="598"/>
      <c r="F30" s="333">
        <f>SUM(F2:F29)</f>
        <v>101</v>
      </c>
      <c r="G30" s="334">
        <f>SUM(G2:G29)</f>
        <v>97</v>
      </c>
      <c r="H30" s="335">
        <f>SUM(H2:H29)</f>
        <v>426714.08</v>
      </c>
      <c r="I30" s="335">
        <f>SUM(I2:I29)</f>
        <v>2560284.48</v>
      </c>
      <c r="J30" s="367"/>
      <c r="L30" s="361" t="s">
        <v>281</v>
      </c>
      <c r="M30" s="362" t="e">
        <f>'BASE DE CÁLCULO'!#REF!</f>
        <v>#REF!</v>
      </c>
      <c r="N30" s="363" t="e">
        <f>#REF!</f>
        <v>#REF!</v>
      </c>
      <c r="O30" s="364">
        <v>1</v>
      </c>
      <c r="P30" s="363" t="e">
        <f t="shared" si="4"/>
        <v>#REF!</v>
      </c>
      <c r="Q30" s="319"/>
      <c r="R30" s="359">
        <f t="shared" si="5"/>
        <v>4</v>
      </c>
      <c r="S30" s="358" t="e">
        <f t="shared" si="3"/>
        <v>#REF!</v>
      </c>
      <c r="T30" s="363" t="e">
        <f>S30*'BASE DE CÁLCULO'!#REF!</f>
        <v>#REF!</v>
      </c>
    </row>
    <row r="31" spans="1:20">
      <c r="L31" s="356" t="s">
        <v>282</v>
      </c>
      <c r="M31" s="368" t="e">
        <f>'BASE DE CÁLCULO'!#REF!</f>
        <v>#REF!</v>
      </c>
      <c r="N31" s="363" t="e">
        <f>#REF!</f>
        <v>#REF!</v>
      </c>
      <c r="O31" s="364">
        <v>1</v>
      </c>
      <c r="P31" s="363" t="e">
        <f t="shared" si="4"/>
        <v>#REF!</v>
      </c>
      <c r="Q31" s="319"/>
      <c r="R31" s="359">
        <f t="shared" si="5"/>
        <v>1</v>
      </c>
      <c r="S31" s="358" t="e">
        <f t="shared" si="3"/>
        <v>#REF!</v>
      </c>
      <c r="T31" s="363" t="e">
        <f>S31*'BASE DE CÁLCULO'!#REF!</f>
        <v>#REF!</v>
      </c>
    </row>
    <row r="32" spans="1:20" ht="51.75" customHeight="1">
      <c r="L32" s="356" t="s">
        <v>283</v>
      </c>
      <c r="M32" s="368" t="e">
        <f>'BASE DE CÁLCULO'!#REF!</f>
        <v>#REF!</v>
      </c>
      <c r="N32" s="363" t="e">
        <f>#REF!</f>
        <v>#REF!</v>
      </c>
      <c r="O32" s="364">
        <v>1</v>
      </c>
      <c r="P32" s="363" t="e">
        <f t="shared" si="4"/>
        <v>#REF!</v>
      </c>
      <c r="Q32" s="319"/>
      <c r="R32" s="359">
        <f t="shared" si="5"/>
        <v>4</v>
      </c>
      <c r="S32" s="358" t="e">
        <f t="shared" si="3"/>
        <v>#REF!</v>
      </c>
      <c r="T32" s="363" t="e">
        <f>S32*'BASE DE CÁLCULO'!#REF!</f>
        <v>#REF!</v>
      </c>
    </row>
    <row r="33" spans="1:20" ht="25.5" customHeight="1">
      <c r="A33" s="603" t="s">
        <v>286</v>
      </c>
      <c r="B33" s="604"/>
      <c r="C33" s="604"/>
      <c r="D33" s="604"/>
      <c r="E33" s="604"/>
      <c r="F33" s="604"/>
      <c r="G33" s="604"/>
      <c r="H33" s="604"/>
      <c r="I33" s="605"/>
      <c r="L33" s="356" t="s">
        <v>284</v>
      </c>
      <c r="M33" s="368" t="e">
        <f>'BASE DE CÁLCULO'!#REF!</f>
        <v>#REF!</v>
      </c>
      <c r="N33" s="363" t="e">
        <f>#REF!</f>
        <v>#REF!</v>
      </c>
      <c r="O33" s="364">
        <v>1</v>
      </c>
      <c r="P33" s="363" t="e">
        <f t="shared" si="4"/>
        <v>#REF!</v>
      </c>
      <c r="Q33" s="319"/>
      <c r="R33" s="359">
        <f t="shared" si="5"/>
        <v>1</v>
      </c>
      <c r="S33" s="358" t="e">
        <f t="shared" si="3"/>
        <v>#REF!</v>
      </c>
      <c r="T33" s="363" t="e">
        <f>S33*'BASE DE CÁLCULO'!#REF!</f>
        <v>#REF!</v>
      </c>
    </row>
    <row r="34" spans="1:20" ht="51.75" customHeight="1">
      <c r="A34" s="336" t="s">
        <v>244</v>
      </c>
      <c r="B34" s="321" t="str">
        <f>[2]BASE!D15</f>
        <v>Recepcionista - Vitória</v>
      </c>
      <c r="C34" s="322">
        <v>3441.18</v>
      </c>
      <c r="D34" s="323">
        <v>1</v>
      </c>
      <c r="E34" s="322">
        <f t="shared" ref="E34:E48" si="6">C34*D34</f>
        <v>3441.18</v>
      </c>
      <c r="F34" s="323">
        <v>19</v>
      </c>
      <c r="G34" s="324">
        <v>16</v>
      </c>
      <c r="H34" s="322">
        <f t="shared" ref="H34:H48" si="7">E34*F34</f>
        <v>65382.42</v>
      </c>
      <c r="I34" s="369">
        <f t="shared" ref="I34:I48" si="8">H34*6</f>
        <v>392294.52</v>
      </c>
      <c r="L34" s="356" t="s">
        <v>285</v>
      </c>
      <c r="M34" s="368" t="e">
        <f>'BASE DE CÁLCULO'!#REF!</f>
        <v>#REF!</v>
      </c>
      <c r="N34" s="363" t="e">
        <f>#REF!</f>
        <v>#REF!</v>
      </c>
      <c r="O34" s="364">
        <v>1</v>
      </c>
      <c r="P34" s="363" t="e">
        <f t="shared" si="4"/>
        <v>#REF!</v>
      </c>
      <c r="Q34" s="319"/>
      <c r="R34" s="359">
        <f t="shared" si="5"/>
        <v>2</v>
      </c>
      <c r="S34" s="358" t="e">
        <f t="shared" si="3"/>
        <v>#REF!</v>
      </c>
      <c r="T34" s="363" t="e">
        <f>S34*'BASE DE CÁLCULO'!#REF!</f>
        <v>#REF!</v>
      </c>
    </row>
    <row r="35" spans="1:20" ht="51.75" customHeight="1">
      <c r="A35" s="336" t="s">
        <v>252</v>
      </c>
      <c r="B35" s="321" t="str">
        <f>[2]BASE!D17</f>
        <v>Supervisor</v>
      </c>
      <c r="C35" s="322">
        <v>3632.41</v>
      </c>
      <c r="D35" s="323">
        <v>1</v>
      </c>
      <c r="E35" s="322">
        <f t="shared" si="6"/>
        <v>3632.41</v>
      </c>
      <c r="F35" s="323">
        <v>1</v>
      </c>
      <c r="G35" s="326">
        <v>1</v>
      </c>
      <c r="H35" s="322">
        <f t="shared" si="7"/>
        <v>3632.41</v>
      </c>
      <c r="I35" s="369">
        <f t="shared" si="8"/>
        <v>21794.46</v>
      </c>
      <c r="L35" s="606" t="s">
        <v>160</v>
      </c>
      <c r="M35" s="607"/>
      <c r="N35" s="607"/>
      <c r="O35" s="607"/>
      <c r="P35" s="608"/>
      <c r="R35" s="373">
        <f>SUM(R7:R34)</f>
        <v>97</v>
      </c>
      <c r="S35" s="374" t="e">
        <f>SUM(S7:S34)</f>
        <v>#REF!</v>
      </c>
      <c r="T35" s="375" t="e">
        <f>SUM(T7:T34)</f>
        <v>#REF!</v>
      </c>
    </row>
    <row r="36" spans="1:20" ht="15.75" customHeight="1">
      <c r="A36" s="336" t="s">
        <v>258</v>
      </c>
      <c r="B36" s="321" t="str">
        <f>[2]BASE!D18</f>
        <v>Lavador de Veículos Pesados - Vitória</v>
      </c>
      <c r="C36" s="322">
        <v>3348.02</v>
      </c>
      <c r="D36" s="323">
        <v>1</v>
      </c>
      <c r="E36" s="322">
        <f t="shared" si="6"/>
        <v>3348.02</v>
      </c>
      <c r="F36" s="323">
        <v>1</v>
      </c>
      <c r="G36" s="326">
        <v>1</v>
      </c>
      <c r="H36" s="322">
        <f t="shared" si="7"/>
        <v>3348.02</v>
      </c>
      <c r="I36" s="369">
        <f t="shared" si="8"/>
        <v>20088.12</v>
      </c>
    </row>
    <row r="37" spans="1:20">
      <c r="A37" s="336" t="s">
        <v>261</v>
      </c>
      <c r="B37" s="321" t="str">
        <f>[2]BASE!D19</f>
        <v>Almoxarife - Vitória</v>
      </c>
      <c r="C37" s="322">
        <v>3249.96</v>
      </c>
      <c r="D37" s="323">
        <v>1</v>
      </c>
      <c r="E37" s="322">
        <f t="shared" si="6"/>
        <v>3249.96</v>
      </c>
      <c r="F37" s="323">
        <v>2</v>
      </c>
      <c r="G37" s="326">
        <v>2</v>
      </c>
      <c r="H37" s="322">
        <f t="shared" si="7"/>
        <v>6499.92</v>
      </c>
      <c r="I37" s="369">
        <f t="shared" si="8"/>
        <v>38999.519999999997</v>
      </c>
    </row>
    <row r="38" spans="1:20">
      <c r="A38" s="336" t="s">
        <v>264</v>
      </c>
      <c r="B38" s="321" t="str">
        <f>[2]BASE!D21</f>
        <v>Piscineiro</v>
      </c>
      <c r="C38" s="322">
        <v>3582.54</v>
      </c>
      <c r="D38" s="323">
        <v>1</v>
      </c>
      <c r="E38" s="322">
        <f t="shared" si="6"/>
        <v>3582.54</v>
      </c>
      <c r="F38" s="323">
        <v>1</v>
      </c>
      <c r="G38" s="326">
        <v>1</v>
      </c>
      <c r="H38" s="322">
        <f t="shared" si="7"/>
        <v>3582.54</v>
      </c>
      <c r="I38" s="369">
        <f t="shared" si="8"/>
        <v>21495.24</v>
      </c>
    </row>
    <row r="39" spans="1:20">
      <c r="A39" s="336" t="s">
        <v>265</v>
      </c>
      <c r="B39" s="321" t="str">
        <f>[2]BASE!D22</f>
        <v>Copeiro - Vitória</v>
      </c>
      <c r="C39" s="322">
        <v>2690</v>
      </c>
      <c r="D39" s="323">
        <v>1</v>
      </c>
      <c r="E39" s="322">
        <f t="shared" si="6"/>
        <v>2690</v>
      </c>
      <c r="F39" s="323">
        <v>1</v>
      </c>
      <c r="G39" s="326">
        <v>1</v>
      </c>
      <c r="H39" s="322">
        <f t="shared" si="7"/>
        <v>2690</v>
      </c>
      <c r="I39" s="369">
        <f t="shared" si="8"/>
        <v>16140</v>
      </c>
    </row>
    <row r="40" spans="1:20">
      <c r="A40" s="336" t="s">
        <v>266</v>
      </c>
      <c r="B40" s="321" t="str">
        <f>[2]BASE!D23</f>
        <v>Contínuo (Office Boy) - Vitória</v>
      </c>
      <c r="C40" s="322">
        <v>2690</v>
      </c>
      <c r="D40" s="323">
        <v>1</v>
      </c>
      <c r="E40" s="322">
        <f t="shared" si="6"/>
        <v>2690</v>
      </c>
      <c r="F40" s="323">
        <v>3</v>
      </c>
      <c r="G40" s="326">
        <v>3</v>
      </c>
      <c r="H40" s="322">
        <f t="shared" si="7"/>
        <v>8070</v>
      </c>
      <c r="I40" s="369">
        <f t="shared" si="8"/>
        <v>48420</v>
      </c>
    </row>
    <row r="41" spans="1:20">
      <c r="A41" s="337" t="s">
        <v>269</v>
      </c>
      <c r="B41" s="328" t="str">
        <f>[2]BASE!D26</f>
        <v>Trabalhador Braçal - Vitória</v>
      </c>
      <c r="C41" s="329">
        <v>3471.37</v>
      </c>
      <c r="D41" s="330">
        <v>1</v>
      </c>
      <c r="E41" s="329">
        <f t="shared" si="6"/>
        <v>3471.37</v>
      </c>
      <c r="F41" s="323">
        <v>7</v>
      </c>
      <c r="G41" s="324">
        <v>3</v>
      </c>
      <c r="H41" s="322">
        <f t="shared" si="7"/>
        <v>24299.59</v>
      </c>
      <c r="I41" s="369">
        <f t="shared" si="8"/>
        <v>145797.54</v>
      </c>
    </row>
    <row r="42" spans="1:20">
      <c r="A42" s="337" t="s">
        <v>272</v>
      </c>
      <c r="B42" s="328" t="str">
        <f>[2]BASE!D29</f>
        <v>Porteiro - Vitória</v>
      </c>
      <c r="C42" s="329">
        <v>2867.51</v>
      </c>
      <c r="D42" s="330">
        <v>1</v>
      </c>
      <c r="E42" s="329">
        <f t="shared" si="6"/>
        <v>2867.51</v>
      </c>
      <c r="F42" s="323">
        <v>16</v>
      </c>
      <c r="G42" s="324">
        <v>15</v>
      </c>
      <c r="H42" s="322">
        <f t="shared" si="7"/>
        <v>45880.160000000003</v>
      </c>
      <c r="I42" s="369">
        <f t="shared" si="8"/>
        <v>275280.96000000002</v>
      </c>
    </row>
    <row r="43" spans="1:20">
      <c r="A43" s="337" t="s">
        <v>274</v>
      </c>
      <c r="B43" s="328" t="str">
        <f>[2]BASE!D31</f>
        <v>Auxiliar Odontológico - Vitória</v>
      </c>
      <c r="C43" s="329">
        <v>3132.47</v>
      </c>
      <c r="D43" s="330">
        <v>1</v>
      </c>
      <c r="E43" s="329">
        <f t="shared" si="6"/>
        <v>3132.47</v>
      </c>
      <c r="F43" s="323">
        <v>8</v>
      </c>
      <c r="G43" s="324">
        <v>8</v>
      </c>
      <c r="H43" s="322">
        <f t="shared" si="7"/>
        <v>25059.759999999998</v>
      </c>
      <c r="I43" s="369">
        <f t="shared" si="8"/>
        <v>150358.56</v>
      </c>
    </row>
    <row r="44" spans="1:20">
      <c r="A44" s="337" t="s">
        <v>275</v>
      </c>
      <c r="B44" s="328" t="str">
        <f>[2]BASE!D32</f>
        <v>Motorista - Vitória</v>
      </c>
      <c r="C44" s="329">
        <v>11568</v>
      </c>
      <c r="D44" s="330">
        <v>1</v>
      </c>
      <c r="E44" s="329">
        <f t="shared" si="6"/>
        <v>11568</v>
      </c>
      <c r="F44" s="323">
        <v>5</v>
      </c>
      <c r="G44" s="326">
        <v>5</v>
      </c>
      <c r="H44" s="322">
        <f t="shared" si="7"/>
        <v>57840</v>
      </c>
      <c r="I44" s="369">
        <f t="shared" si="8"/>
        <v>347040</v>
      </c>
    </row>
    <row r="45" spans="1:20">
      <c r="A45" s="337" t="s">
        <v>279</v>
      </c>
      <c r="B45" s="328" t="str">
        <f>[2]BASE!D36</f>
        <v>Eletricista  de Manutenção</v>
      </c>
      <c r="C45" s="329">
        <v>4666.96</v>
      </c>
      <c r="D45" s="330">
        <v>1</v>
      </c>
      <c r="E45" s="329">
        <f t="shared" si="6"/>
        <v>4666.96</v>
      </c>
      <c r="F45" s="323">
        <v>2</v>
      </c>
      <c r="G45" s="326">
        <v>3</v>
      </c>
      <c r="H45" s="322">
        <f t="shared" si="7"/>
        <v>9333.92</v>
      </c>
      <c r="I45" s="369">
        <f t="shared" si="8"/>
        <v>56003.519999999997</v>
      </c>
    </row>
    <row r="46" spans="1:20">
      <c r="A46" s="337" t="s">
        <v>280</v>
      </c>
      <c r="B46" s="328" t="str">
        <f>[2]BASE!D37</f>
        <v>Mecânico Ajustador - Vitória</v>
      </c>
      <c r="C46" s="329">
        <v>5227.1899999999996</v>
      </c>
      <c r="D46" s="330">
        <v>1</v>
      </c>
      <c r="E46" s="329">
        <f t="shared" si="6"/>
        <v>5227.1899999999996</v>
      </c>
      <c r="F46" s="323">
        <v>1</v>
      </c>
      <c r="G46" s="326">
        <v>1</v>
      </c>
      <c r="H46" s="322">
        <f t="shared" si="7"/>
        <v>5227.1899999999996</v>
      </c>
      <c r="I46" s="369">
        <f t="shared" si="8"/>
        <v>31363.14</v>
      </c>
    </row>
    <row r="47" spans="1:20">
      <c r="A47" s="337" t="s">
        <v>281</v>
      </c>
      <c r="B47" s="328" t="str">
        <f>[2]BASE!D38</f>
        <v>Ajudante de Caminhão e Armazém - Vitória</v>
      </c>
      <c r="C47" s="329">
        <v>4310.76</v>
      </c>
      <c r="D47" s="330">
        <v>1</v>
      </c>
      <c r="E47" s="329">
        <f t="shared" si="6"/>
        <v>4310.76</v>
      </c>
      <c r="F47" s="323">
        <v>3</v>
      </c>
      <c r="G47" s="324">
        <v>4</v>
      </c>
      <c r="H47" s="322">
        <f t="shared" si="7"/>
        <v>12932.28</v>
      </c>
      <c r="I47" s="369">
        <f t="shared" si="8"/>
        <v>77593.679999999993</v>
      </c>
    </row>
    <row r="48" spans="1:20">
      <c r="A48" s="336" t="s">
        <v>283</v>
      </c>
      <c r="B48" s="332" t="str">
        <f>[2]BASE!B40</f>
        <v>Auxiliar de Manutenção Predial (Oficial)- Vitória</v>
      </c>
      <c r="C48" s="329">
        <v>4699.96</v>
      </c>
      <c r="D48" s="330">
        <v>1</v>
      </c>
      <c r="E48" s="329">
        <f t="shared" si="6"/>
        <v>4699.96</v>
      </c>
      <c r="F48" s="323">
        <v>4</v>
      </c>
      <c r="G48" s="324">
        <v>4</v>
      </c>
      <c r="H48" s="322">
        <f t="shared" si="7"/>
        <v>18799.84</v>
      </c>
      <c r="I48" s="369">
        <f t="shared" si="8"/>
        <v>112799.03999999999</v>
      </c>
    </row>
    <row r="49" spans="1:9" ht="16.2">
      <c r="A49" s="597"/>
      <c r="B49" s="598"/>
      <c r="C49" s="598"/>
      <c r="D49" s="598"/>
      <c r="E49" s="598"/>
      <c r="F49" s="333">
        <f>SUM(F34:F48)</f>
        <v>74</v>
      </c>
      <c r="G49" s="334">
        <f>SUM(G34:G48)</f>
        <v>68</v>
      </c>
      <c r="H49" s="335">
        <f>SUM(H34:H48)</f>
        <v>292578.05</v>
      </c>
      <c r="I49" s="370">
        <f>SUM(I34:I48)</f>
        <v>1755468.3</v>
      </c>
    </row>
    <row r="50" spans="1:9">
      <c r="A50" s="338"/>
      <c r="B50" s="339"/>
      <c r="C50" s="339"/>
      <c r="D50" s="339"/>
      <c r="E50" s="339"/>
      <c r="F50" s="339"/>
      <c r="G50" s="339"/>
      <c r="H50" s="339"/>
      <c r="I50" s="371"/>
    </row>
    <row r="51" spans="1:9">
      <c r="A51" s="338"/>
      <c r="B51" s="339"/>
      <c r="C51" s="339"/>
      <c r="D51" s="339"/>
      <c r="E51" s="339"/>
      <c r="F51" s="339"/>
      <c r="G51" s="339"/>
      <c r="H51" s="339"/>
      <c r="I51" s="371"/>
    </row>
    <row r="52" spans="1:9" ht="25.5" customHeight="1">
      <c r="A52" s="594" t="s">
        <v>287</v>
      </c>
      <c r="B52" s="595"/>
      <c r="C52" s="595"/>
      <c r="D52" s="595"/>
      <c r="E52" s="595"/>
      <c r="F52" s="595"/>
      <c r="G52" s="595"/>
      <c r="H52" s="595"/>
      <c r="I52" s="596"/>
    </row>
    <row r="53" spans="1:9">
      <c r="A53" s="336" t="s">
        <v>245</v>
      </c>
      <c r="B53" s="321" t="str">
        <f>[2]BASE!D16</f>
        <v>Recepcionista - Alegre</v>
      </c>
      <c r="C53" s="322">
        <v>3368.88</v>
      </c>
      <c r="D53" s="323">
        <v>1</v>
      </c>
      <c r="E53" s="322">
        <f t="shared" ref="E53:E59" si="9">C53*D53</f>
        <v>3368.88</v>
      </c>
      <c r="F53" s="325">
        <v>4</v>
      </c>
      <c r="G53" s="324">
        <v>6</v>
      </c>
      <c r="H53" s="322">
        <f t="shared" ref="H53:H59" si="10">E53*F53</f>
        <v>13475.52</v>
      </c>
      <c r="I53" s="369">
        <f t="shared" ref="I53:I59" si="11">H53*6</f>
        <v>80853.119999999995</v>
      </c>
    </row>
    <row r="54" spans="1:9">
      <c r="A54" s="336" t="s">
        <v>263</v>
      </c>
      <c r="B54" s="321" t="str">
        <f>[2]BASE!D20</f>
        <v>Almoxarife - Alegre</v>
      </c>
      <c r="C54" s="322">
        <v>3170.74</v>
      </c>
      <c r="D54" s="323">
        <v>1</v>
      </c>
      <c r="E54" s="322">
        <f t="shared" si="9"/>
        <v>3170.74</v>
      </c>
      <c r="F54" s="323">
        <v>1</v>
      </c>
      <c r="G54" s="326">
        <f>[2]BASE!E20</f>
        <v>1</v>
      </c>
      <c r="H54" s="322">
        <f t="shared" si="10"/>
        <v>3170.74</v>
      </c>
      <c r="I54" s="369">
        <f t="shared" si="11"/>
        <v>19024.439999999999</v>
      </c>
    </row>
    <row r="55" spans="1:9">
      <c r="A55" s="337" t="s">
        <v>268</v>
      </c>
      <c r="B55" s="328" t="str">
        <f>[2]BASE!D25</f>
        <v>Contínuo (Office Boy) - Alegre</v>
      </c>
      <c r="C55" s="329">
        <v>2590.59</v>
      </c>
      <c r="D55" s="330">
        <v>1</v>
      </c>
      <c r="E55" s="329">
        <f t="shared" si="9"/>
        <v>2590.59</v>
      </c>
      <c r="F55" s="330">
        <v>1</v>
      </c>
      <c r="G55" s="326">
        <f>[2]BASE!E25</f>
        <v>1</v>
      </c>
      <c r="H55" s="322">
        <f t="shared" si="10"/>
        <v>2590.59</v>
      </c>
      <c r="I55" s="369">
        <f t="shared" si="11"/>
        <v>15543.54</v>
      </c>
    </row>
    <row r="56" spans="1:9">
      <c r="A56" s="337" t="s">
        <v>271</v>
      </c>
      <c r="B56" s="328" t="str">
        <f>[2]BASE!D28</f>
        <v xml:space="preserve">Trabalhador Braçal - Alegre </v>
      </c>
      <c r="C56" s="329">
        <v>3371.96</v>
      </c>
      <c r="D56" s="330">
        <v>1</v>
      </c>
      <c r="E56" s="329">
        <f t="shared" si="9"/>
        <v>3371.96</v>
      </c>
      <c r="F56" s="331">
        <v>6</v>
      </c>
      <c r="G56" s="324">
        <v>7</v>
      </c>
      <c r="H56" s="322">
        <f t="shared" si="10"/>
        <v>20231.759999999998</v>
      </c>
      <c r="I56" s="369">
        <f t="shared" si="11"/>
        <v>121390.56</v>
      </c>
    </row>
    <row r="57" spans="1:9">
      <c r="A57" s="337" t="s">
        <v>276</v>
      </c>
      <c r="B57" s="328" t="str">
        <f>[2]BASE!D33</f>
        <v xml:space="preserve">Motorista - Alegre </v>
      </c>
      <c r="C57" s="329">
        <v>11568</v>
      </c>
      <c r="D57" s="330">
        <v>1</v>
      </c>
      <c r="E57" s="329">
        <f t="shared" si="9"/>
        <v>11568</v>
      </c>
      <c r="F57" s="330">
        <v>4</v>
      </c>
      <c r="G57" s="326">
        <f>[2]BASE!E33</f>
        <v>4</v>
      </c>
      <c r="H57" s="322">
        <f t="shared" si="10"/>
        <v>46272</v>
      </c>
      <c r="I57" s="369">
        <f t="shared" si="11"/>
        <v>277632</v>
      </c>
    </row>
    <row r="58" spans="1:9">
      <c r="A58" s="337" t="s">
        <v>278</v>
      </c>
      <c r="B58" s="328" t="str">
        <f>[2]BASE!D35</f>
        <v>Operador de Trator até 15.000 Kg - Alegre</v>
      </c>
      <c r="C58" s="329">
        <v>7414.71</v>
      </c>
      <c r="D58" s="330">
        <v>1</v>
      </c>
      <c r="E58" s="329">
        <f t="shared" si="9"/>
        <v>7414.71</v>
      </c>
      <c r="F58" s="330">
        <v>1</v>
      </c>
      <c r="G58" s="326">
        <f>[2]BASE!E35</f>
        <v>1</v>
      </c>
      <c r="H58" s="322">
        <f t="shared" si="10"/>
        <v>7414.71</v>
      </c>
      <c r="I58" s="369">
        <f t="shared" si="11"/>
        <v>44488.26</v>
      </c>
    </row>
    <row r="59" spans="1:9">
      <c r="A59" s="336" t="s">
        <v>285</v>
      </c>
      <c r="B59" s="332" t="str">
        <f>[2]BASE!B42</f>
        <v>Auxiliar de Manutenção Predial (Oficial) - Alegre</v>
      </c>
      <c r="C59" s="329">
        <v>4629.3</v>
      </c>
      <c r="D59" s="330">
        <v>1</v>
      </c>
      <c r="E59" s="329">
        <f t="shared" si="9"/>
        <v>4629.3</v>
      </c>
      <c r="F59" s="330">
        <v>2</v>
      </c>
      <c r="G59" s="326">
        <f>[2]BASE!E42</f>
        <v>2</v>
      </c>
      <c r="H59" s="322">
        <f t="shared" si="10"/>
        <v>9258.6</v>
      </c>
      <c r="I59" s="369">
        <f t="shared" si="11"/>
        <v>55551.6</v>
      </c>
    </row>
    <row r="60" spans="1:9" ht="16.2">
      <c r="A60" s="597"/>
      <c r="B60" s="598"/>
      <c r="C60" s="598"/>
      <c r="D60" s="598"/>
      <c r="E60" s="598"/>
      <c r="F60" s="333">
        <f>SUM(F53:F59)</f>
        <v>19</v>
      </c>
      <c r="G60" s="334">
        <f>SUM(G53:G59)</f>
        <v>22</v>
      </c>
      <c r="H60" s="335">
        <f>SUM(H53:H59)</f>
        <v>102413.92</v>
      </c>
      <c r="I60" s="370">
        <f>SUM(I53:I59)</f>
        <v>614483.52</v>
      </c>
    </row>
    <row r="61" spans="1:9">
      <c r="A61" s="338"/>
      <c r="B61" s="339"/>
      <c r="C61" s="339"/>
      <c r="D61" s="339"/>
      <c r="E61" s="339"/>
      <c r="F61" s="339"/>
      <c r="G61" s="339"/>
      <c r="H61" s="339"/>
      <c r="I61" s="371"/>
    </row>
    <row r="62" spans="1:9">
      <c r="A62" s="338"/>
      <c r="B62" s="339"/>
      <c r="C62" s="339"/>
      <c r="D62" s="339"/>
      <c r="E62" s="339"/>
      <c r="F62" s="339"/>
      <c r="G62" s="339"/>
      <c r="H62" s="339"/>
      <c r="I62" s="371"/>
    </row>
    <row r="63" spans="1:9" ht="25.5" customHeight="1">
      <c r="A63" s="594" t="s">
        <v>288</v>
      </c>
      <c r="B63" s="595"/>
      <c r="C63" s="595"/>
      <c r="D63" s="595"/>
      <c r="E63" s="595"/>
      <c r="F63" s="595"/>
      <c r="G63" s="595"/>
      <c r="H63" s="595"/>
      <c r="I63" s="596"/>
    </row>
    <row r="64" spans="1:9">
      <c r="A64" s="337" t="s">
        <v>267</v>
      </c>
      <c r="B64" s="328" t="str">
        <f>[2]BASE!D24</f>
        <v>Contínuo (Office Boy) - São Mateus</v>
      </c>
      <c r="C64" s="329">
        <v>2654.27</v>
      </c>
      <c r="D64" s="330">
        <v>1</v>
      </c>
      <c r="E64" s="329">
        <f t="shared" ref="E64:E69" si="12">C64*D64</f>
        <v>2654.27</v>
      </c>
      <c r="F64" s="330">
        <v>1</v>
      </c>
      <c r="G64" s="326">
        <f>[2]BASE!E24</f>
        <v>1</v>
      </c>
      <c r="H64" s="322">
        <f t="shared" ref="H64:H69" si="13">E64*F64</f>
        <v>2654.27</v>
      </c>
      <c r="I64" s="369">
        <f t="shared" ref="I64:I69" si="14">H64*6</f>
        <v>15925.62</v>
      </c>
    </row>
    <row r="65" spans="1:9">
      <c r="A65" s="337" t="s">
        <v>270</v>
      </c>
      <c r="B65" s="328" t="str">
        <f>[2]BASE!D27</f>
        <v>Trabalhador Braçal - São Mateus</v>
      </c>
      <c r="C65" s="329">
        <v>3435.68</v>
      </c>
      <c r="D65" s="330">
        <v>1</v>
      </c>
      <c r="E65" s="329">
        <f t="shared" si="12"/>
        <v>3435.68</v>
      </c>
      <c r="F65" s="330">
        <v>3</v>
      </c>
      <c r="G65" s="326">
        <f>[2]BASE!E27</f>
        <v>3</v>
      </c>
      <c r="H65" s="322">
        <f t="shared" si="13"/>
        <v>10307.040000000001</v>
      </c>
      <c r="I65" s="369">
        <f t="shared" si="14"/>
        <v>61842.239999999998</v>
      </c>
    </row>
    <row r="66" spans="1:9">
      <c r="A66" s="337" t="s">
        <v>273</v>
      </c>
      <c r="B66" s="328" t="str">
        <f>[2]BASE!D30</f>
        <v>Porteiro - São Mateus</v>
      </c>
      <c r="C66" s="329">
        <v>2831.79</v>
      </c>
      <c r="D66" s="330">
        <v>1</v>
      </c>
      <c r="E66" s="329">
        <f t="shared" si="12"/>
        <v>2831.79</v>
      </c>
      <c r="F66" s="330">
        <v>1</v>
      </c>
      <c r="G66" s="324">
        <v>0</v>
      </c>
      <c r="H66" s="322">
        <f t="shared" si="13"/>
        <v>2831.79</v>
      </c>
      <c r="I66" s="369">
        <f t="shared" si="14"/>
        <v>16990.740000000002</v>
      </c>
    </row>
    <row r="67" spans="1:9">
      <c r="A67" s="337" t="s">
        <v>277</v>
      </c>
      <c r="B67" s="328" t="str">
        <f>[2]BASE!D34</f>
        <v>Operador de Trator até 15.000 Kg - São Mateus</v>
      </c>
      <c r="C67" s="329">
        <v>7407.26</v>
      </c>
      <c r="D67" s="330">
        <v>1</v>
      </c>
      <c r="E67" s="329">
        <f t="shared" si="12"/>
        <v>7407.26</v>
      </c>
      <c r="F67" s="330">
        <v>1</v>
      </c>
      <c r="G67" s="326">
        <f>[2]BASE!E34</f>
        <v>1</v>
      </c>
      <c r="H67" s="322">
        <f t="shared" si="13"/>
        <v>7407.26</v>
      </c>
      <c r="I67" s="369">
        <f t="shared" si="14"/>
        <v>44443.56</v>
      </c>
    </row>
    <row r="68" spans="1:9">
      <c r="A68" s="336" t="s">
        <v>282</v>
      </c>
      <c r="B68" s="332" t="str">
        <f>[2]BASE!B39</f>
        <v>Ajudante de Caminhão e Armazém - São Mateus</v>
      </c>
      <c r="C68" s="329">
        <v>3857.52</v>
      </c>
      <c r="D68" s="330">
        <v>1</v>
      </c>
      <c r="E68" s="329">
        <f t="shared" si="12"/>
        <v>3857.52</v>
      </c>
      <c r="F68" s="330">
        <v>1</v>
      </c>
      <c r="G68" s="326">
        <f>[2]BASE!E39</f>
        <v>1</v>
      </c>
      <c r="H68" s="322">
        <f t="shared" si="13"/>
        <v>3857.52</v>
      </c>
      <c r="I68" s="369">
        <f t="shared" si="14"/>
        <v>23145.119999999999</v>
      </c>
    </row>
    <row r="69" spans="1:9">
      <c r="A69" s="336" t="s">
        <v>284</v>
      </c>
      <c r="B69" s="332" t="str">
        <f>[2]BASE!B41</f>
        <v>Auxiliar de Manutenção Predial (Oficial)- São Mateus</v>
      </c>
      <c r="C69" s="329">
        <v>4664.2299999999996</v>
      </c>
      <c r="D69" s="330">
        <v>1</v>
      </c>
      <c r="E69" s="329">
        <f t="shared" si="12"/>
        <v>4664.2299999999996</v>
      </c>
      <c r="F69" s="330">
        <v>1</v>
      </c>
      <c r="G69" s="326">
        <f>[2]BASE!E41</f>
        <v>1</v>
      </c>
      <c r="H69" s="322">
        <f t="shared" si="13"/>
        <v>4664.2299999999996</v>
      </c>
      <c r="I69" s="369">
        <f t="shared" si="14"/>
        <v>27985.38</v>
      </c>
    </row>
    <row r="70" spans="1:9" ht="16.2">
      <c r="A70" s="597"/>
      <c r="B70" s="598"/>
      <c r="C70" s="598"/>
      <c r="D70" s="598"/>
      <c r="E70" s="598"/>
      <c r="F70" s="333">
        <f>SUM(F64:F69)</f>
        <v>8</v>
      </c>
      <c r="G70" s="334">
        <f>SUM(G64:G69)</f>
        <v>7</v>
      </c>
      <c r="H70" s="335">
        <f>SUM(H64:H69)</f>
        <v>31722.11</v>
      </c>
      <c r="I70" s="370">
        <f>SUM(I64:I69)</f>
        <v>190332.66</v>
      </c>
    </row>
    <row r="71" spans="1:9">
      <c r="A71" s="338"/>
      <c r="B71" s="339"/>
      <c r="C71" s="339"/>
      <c r="D71" s="339"/>
      <c r="E71" s="339"/>
      <c r="F71" s="339"/>
      <c r="G71" s="339"/>
      <c r="H71" s="339"/>
      <c r="I71" s="371"/>
    </row>
    <row r="72" spans="1:9">
      <c r="A72" s="338"/>
      <c r="B72" s="339"/>
      <c r="C72" s="339"/>
      <c r="D72" s="339"/>
      <c r="E72" s="339"/>
      <c r="F72" s="339"/>
      <c r="G72" s="339"/>
      <c r="H72" s="339"/>
      <c r="I72" s="371"/>
    </row>
    <row r="73" spans="1:9">
      <c r="A73" s="338"/>
      <c r="B73" s="339"/>
      <c r="C73" s="339"/>
      <c r="D73" s="339"/>
      <c r="E73" s="339"/>
      <c r="F73" s="339"/>
      <c r="G73" s="339"/>
      <c r="H73" s="339"/>
      <c r="I73" s="371"/>
    </row>
    <row r="74" spans="1:9">
      <c r="A74" s="376"/>
      <c r="B74" s="377"/>
      <c r="C74" s="377"/>
      <c r="D74" s="377"/>
      <c r="E74" s="377"/>
      <c r="F74" s="378">
        <f>SUM(F49,F60,F70)</f>
        <v>101</v>
      </c>
      <c r="G74" s="378">
        <f>SUM(G49,G60,G70)</f>
        <v>97</v>
      </c>
      <c r="H74" s="378">
        <f>SUM(H49,H60,H70)</f>
        <v>426714.08</v>
      </c>
      <c r="I74" s="379">
        <f>SUM(I49,I60,I70)</f>
        <v>2560284.48</v>
      </c>
    </row>
  </sheetData>
  <mergeCells count="10">
    <mergeCell ref="A52:I52"/>
    <mergeCell ref="A60:E60"/>
    <mergeCell ref="A63:I63"/>
    <mergeCell ref="A70:E70"/>
    <mergeCell ref="A1:I1"/>
    <mergeCell ref="L1:T1"/>
    <mergeCell ref="A30:E30"/>
    <mergeCell ref="A33:I33"/>
    <mergeCell ref="L35:P35"/>
    <mergeCell ref="A49:E49"/>
  </mergeCells>
  <pageMargins left="0.511811024" right="0.511811024" top="0.78740157499999996" bottom="0.78740157499999996" header="0.31496062000000002" footer="0.31496062000000002"/>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39"/>
  </sheetPr>
  <dimension ref="A1:P74"/>
  <sheetViews>
    <sheetView showGridLines="0" tabSelected="1" zoomScale="85" zoomScaleNormal="85" workbookViewId="0">
      <selection activeCell="O17" sqref="O17"/>
    </sheetView>
  </sheetViews>
  <sheetFormatPr defaultColWidth="9.109375" defaultRowHeight="13.2"/>
  <cols>
    <col min="1" max="1" width="3.88671875" style="14" customWidth="1"/>
    <col min="2" max="3" width="9.109375" style="14"/>
    <col min="4" max="4" width="12.33203125" style="14" customWidth="1"/>
    <col min="5" max="6" width="9.109375" style="14"/>
    <col min="7" max="7" width="6.33203125" style="14" customWidth="1"/>
    <col min="8" max="12" width="9.109375" style="14"/>
    <col min="13" max="13" width="18.6640625" style="14" customWidth="1"/>
    <col min="14" max="14" width="24.109375" style="14" bestFit="1" customWidth="1"/>
    <col min="15" max="16384" width="9.109375" style="14"/>
  </cols>
  <sheetData>
    <row r="1" spans="1:16" ht="15.6">
      <c r="A1" s="618" t="s">
        <v>289</v>
      </c>
      <c r="B1" s="619"/>
      <c r="C1" s="619"/>
      <c r="D1" s="619"/>
      <c r="E1" s="619"/>
      <c r="F1" s="619"/>
      <c r="G1" s="619"/>
      <c r="H1" s="619"/>
      <c r="I1" s="619"/>
      <c r="J1" s="619"/>
      <c r="K1" s="619"/>
      <c r="L1" s="619"/>
      <c r="M1" s="619"/>
      <c r="N1" s="619"/>
      <c r="O1" s="619"/>
      <c r="P1" s="620"/>
    </row>
    <row r="2" spans="1:16" ht="33" customHeight="1">
      <c r="A2" s="618" t="s">
        <v>290</v>
      </c>
      <c r="B2" s="619"/>
      <c r="C2" s="619"/>
      <c r="D2" s="620"/>
      <c r="E2" s="618" t="s">
        <v>291</v>
      </c>
      <c r="F2" s="619"/>
      <c r="G2" s="620"/>
      <c r="H2" s="618" t="s">
        <v>292</v>
      </c>
      <c r="I2" s="619"/>
      <c r="J2" s="620"/>
      <c r="K2" s="618" t="s">
        <v>293</v>
      </c>
      <c r="L2" s="619"/>
      <c r="M2" s="620"/>
      <c r="N2" s="618" t="s">
        <v>294</v>
      </c>
      <c r="O2" s="619"/>
      <c r="P2" s="620"/>
    </row>
    <row r="3" spans="1:16" ht="15.6">
      <c r="A3" s="7">
        <v>1</v>
      </c>
      <c r="B3" s="624" t="str">
        <f>'BASE DE CÁLCULO'!C23</f>
        <v>Armazenista</v>
      </c>
      <c r="C3" s="625"/>
      <c r="D3" s="626"/>
      <c r="E3" s="641">
        <f>'Armazenista Item 1.01'!N161</f>
        <v>4949.6400000000003</v>
      </c>
      <c r="F3" s="642"/>
      <c r="G3" s="643"/>
      <c r="H3" s="644">
        <f>'BASE DE CÁLCULO'!F23</f>
        <v>2</v>
      </c>
      <c r="I3" s="645"/>
      <c r="J3" s="646"/>
      <c r="K3" s="641">
        <f>E3*H3</f>
        <v>9899.2800000000007</v>
      </c>
      <c r="L3" s="642"/>
      <c r="M3" s="643"/>
      <c r="N3" s="641">
        <f>K3*12</f>
        <v>118791.36</v>
      </c>
      <c r="O3" s="642"/>
      <c r="P3" s="643"/>
    </row>
    <row r="4" spans="1:16" ht="16.5" customHeight="1">
      <c r="A4" s="7">
        <v>2</v>
      </c>
      <c r="B4" s="624" t="str">
        <f>'BASE DE CÁLCULO'!C24</f>
        <v>Atendente de Refeitório</v>
      </c>
      <c r="C4" s="625"/>
      <c r="D4" s="626"/>
      <c r="E4" s="641">
        <f>'At. de Refeitório Item 1.02'!N160</f>
        <v>4325.12</v>
      </c>
      <c r="F4" s="642"/>
      <c r="G4" s="643"/>
      <c r="H4" s="644">
        <f>'BASE DE CÁLCULO'!F24</f>
        <v>5</v>
      </c>
      <c r="I4" s="645"/>
      <c r="J4" s="646"/>
      <c r="K4" s="641">
        <f t="shared" ref="K4:K15" si="0">E4*H4</f>
        <v>21625.599999999999</v>
      </c>
      <c r="L4" s="642"/>
      <c r="M4" s="643"/>
      <c r="N4" s="641">
        <f t="shared" ref="N4:N15" si="1">K4*12</f>
        <v>259507.20000000001</v>
      </c>
      <c r="O4" s="642"/>
      <c r="P4" s="643"/>
    </row>
    <row r="5" spans="1:16" ht="16.5" customHeight="1">
      <c r="A5" s="7">
        <v>3</v>
      </c>
      <c r="B5" s="624" t="str">
        <f>'BASE DE CÁLCULO'!C25</f>
        <v>Auxliar de Cozinha I</v>
      </c>
      <c r="C5" s="625"/>
      <c r="D5" s="626"/>
      <c r="E5" s="641">
        <f>'Aux. Cozinha I Item 1.03'!N160</f>
        <v>5265.12</v>
      </c>
      <c r="F5" s="642"/>
      <c r="G5" s="643"/>
      <c r="H5" s="644">
        <f>'BASE DE CÁLCULO'!F25</f>
        <v>36</v>
      </c>
      <c r="I5" s="645"/>
      <c r="J5" s="646"/>
      <c r="K5" s="641">
        <f t="shared" si="0"/>
        <v>189544.32000000001</v>
      </c>
      <c r="L5" s="642"/>
      <c r="M5" s="643"/>
      <c r="N5" s="641">
        <f t="shared" si="1"/>
        <v>2274531.84</v>
      </c>
      <c r="O5" s="642"/>
      <c r="P5" s="643"/>
    </row>
    <row r="6" spans="1:16" ht="16.5" customHeight="1">
      <c r="A6" s="7">
        <v>4</v>
      </c>
      <c r="B6" s="624" t="str">
        <f>'BASE DE CÁLCULO'!C26</f>
        <v>Auxliar de Cozinha II</v>
      </c>
      <c r="C6" s="625"/>
      <c r="D6" s="626"/>
      <c r="E6" s="641">
        <f>'Aux. Cozinha II Item 1.04'!N160</f>
        <v>5503.57</v>
      </c>
      <c r="F6" s="642"/>
      <c r="G6" s="643"/>
      <c r="H6" s="644">
        <f>'BASE DE CÁLCULO'!F26</f>
        <v>7</v>
      </c>
      <c r="I6" s="645"/>
      <c r="J6" s="646"/>
      <c r="K6" s="641">
        <f t="shared" si="0"/>
        <v>38524.99</v>
      </c>
      <c r="L6" s="642"/>
      <c r="M6" s="643"/>
      <c r="N6" s="641">
        <f t="shared" si="1"/>
        <v>462299.88</v>
      </c>
      <c r="O6" s="642"/>
      <c r="P6" s="643"/>
    </row>
    <row r="7" spans="1:16" ht="16.5" customHeight="1">
      <c r="A7" s="7">
        <v>5</v>
      </c>
      <c r="B7" s="624" t="str">
        <f>'BASE DE CÁLCULO'!C27</f>
        <v>Auxiliar de Cozinha III</v>
      </c>
      <c r="C7" s="625"/>
      <c r="D7" s="626"/>
      <c r="E7" s="641">
        <f>'Aux. Cozinha III Item 1.05'!N160</f>
        <v>5120.6899999999996</v>
      </c>
      <c r="F7" s="642"/>
      <c r="G7" s="643"/>
      <c r="H7" s="644">
        <f>'BASE DE CÁLCULO'!F27</f>
        <v>3</v>
      </c>
      <c r="I7" s="645"/>
      <c r="J7" s="646"/>
      <c r="K7" s="641">
        <f t="shared" si="0"/>
        <v>15362.07</v>
      </c>
      <c r="L7" s="642"/>
      <c r="M7" s="643"/>
      <c r="N7" s="641">
        <f t="shared" si="1"/>
        <v>184344.84</v>
      </c>
      <c r="O7" s="642"/>
      <c r="P7" s="643"/>
    </row>
    <row r="8" spans="1:16" ht="16.5" customHeight="1">
      <c r="A8" s="7">
        <v>6</v>
      </c>
      <c r="B8" s="624" t="str">
        <f>'BASE DE CÁLCULO'!C28</f>
        <v>Cozinheiro</v>
      </c>
      <c r="C8" s="625"/>
      <c r="D8" s="626"/>
      <c r="E8" s="641">
        <f>'Cozinheiro Item 1.06'!N160</f>
        <v>6493.12</v>
      </c>
      <c r="F8" s="642"/>
      <c r="G8" s="643"/>
      <c r="H8" s="644">
        <f>'BASE DE CÁLCULO'!F28</f>
        <v>4</v>
      </c>
      <c r="I8" s="645"/>
      <c r="J8" s="646"/>
      <c r="K8" s="641">
        <f t="shared" si="0"/>
        <v>25972.48</v>
      </c>
      <c r="L8" s="642"/>
      <c r="M8" s="643"/>
      <c r="N8" s="641">
        <f t="shared" si="1"/>
        <v>311669.76000000001</v>
      </c>
      <c r="O8" s="642"/>
      <c r="P8" s="643"/>
    </row>
    <row r="9" spans="1:16" ht="15.6">
      <c r="A9" s="7">
        <v>7</v>
      </c>
      <c r="B9" s="624" t="str">
        <f>'BASE DE CÁLCULO'!C29</f>
        <v>ASG I</v>
      </c>
      <c r="C9" s="625"/>
      <c r="D9" s="626"/>
      <c r="E9" s="641">
        <f>'ASG I Item 1.07'!N160</f>
        <v>4282.6400000000003</v>
      </c>
      <c r="F9" s="642"/>
      <c r="G9" s="643"/>
      <c r="H9" s="644">
        <f>'BASE DE CÁLCULO'!F29</f>
        <v>5</v>
      </c>
      <c r="I9" s="645"/>
      <c r="J9" s="646"/>
      <c r="K9" s="641">
        <f t="shared" si="0"/>
        <v>21413.200000000001</v>
      </c>
      <c r="L9" s="642"/>
      <c r="M9" s="643"/>
      <c r="N9" s="641">
        <f t="shared" si="1"/>
        <v>256958.4</v>
      </c>
      <c r="O9" s="642"/>
      <c r="P9" s="643"/>
    </row>
    <row r="10" spans="1:16" ht="16.5" customHeight="1">
      <c r="A10" s="7">
        <v>8</v>
      </c>
      <c r="B10" s="624" t="str">
        <f>'BASE DE CÁLCULO'!C30</f>
        <v>ASG II</v>
      </c>
      <c r="C10" s="625"/>
      <c r="D10" s="626"/>
      <c r="E10" s="641">
        <f>'ASG II Item 1.08'!N160</f>
        <v>5478.84</v>
      </c>
      <c r="F10" s="642"/>
      <c r="G10" s="643"/>
      <c r="H10" s="644">
        <f>'BASE DE CÁLCULO'!F30</f>
        <v>4</v>
      </c>
      <c r="I10" s="645"/>
      <c r="J10" s="646"/>
      <c r="K10" s="641">
        <f t="shared" si="0"/>
        <v>21915.360000000001</v>
      </c>
      <c r="L10" s="642"/>
      <c r="M10" s="643"/>
      <c r="N10" s="641">
        <f t="shared" si="1"/>
        <v>262984.32000000001</v>
      </c>
      <c r="O10" s="642"/>
      <c r="P10" s="643"/>
    </row>
    <row r="11" spans="1:16" ht="16.5" customHeight="1">
      <c r="A11" s="7">
        <v>9</v>
      </c>
      <c r="B11" s="624" t="str">
        <f>'BASE DE CÁLCULO'!C31</f>
        <v>Supervisor de Cozinha</v>
      </c>
      <c r="C11" s="625"/>
      <c r="D11" s="626"/>
      <c r="E11" s="641">
        <f>'Sup. de Cozinha Item 1.09'!N160</f>
        <v>8913.42</v>
      </c>
      <c r="F11" s="642"/>
      <c r="G11" s="643"/>
      <c r="H11" s="644">
        <f>'BASE DE CÁLCULO'!F31</f>
        <v>2</v>
      </c>
      <c r="I11" s="645"/>
      <c r="J11" s="646"/>
      <c r="K11" s="641">
        <f t="shared" si="0"/>
        <v>17826.84</v>
      </c>
      <c r="L11" s="642"/>
      <c r="M11" s="643"/>
      <c r="N11" s="641">
        <f t="shared" si="1"/>
        <v>213922.08</v>
      </c>
      <c r="O11" s="642"/>
      <c r="P11" s="643"/>
    </row>
    <row r="12" spans="1:16" ht="15.6">
      <c r="A12" s="7">
        <v>10</v>
      </c>
      <c r="B12" s="624" t="str">
        <f>'BASE DE CÁLCULO'!C32</f>
        <v>Encarregado de Serv. Gerais</v>
      </c>
      <c r="C12" s="625"/>
      <c r="D12" s="626"/>
      <c r="E12" s="641">
        <f>'Enc. Serviços Gerais Item 1.10'!N160</f>
        <v>7275.77</v>
      </c>
      <c r="F12" s="642"/>
      <c r="G12" s="643"/>
      <c r="H12" s="644">
        <f>'BASE DE CÁLCULO'!F32</f>
        <v>1</v>
      </c>
      <c r="I12" s="645"/>
      <c r="J12" s="646"/>
      <c r="K12" s="641">
        <f t="shared" si="0"/>
        <v>7275.77</v>
      </c>
      <c r="L12" s="642"/>
      <c r="M12" s="643"/>
      <c r="N12" s="641">
        <f t="shared" si="1"/>
        <v>87309.24</v>
      </c>
      <c r="O12" s="642"/>
      <c r="P12" s="643"/>
    </row>
    <row r="13" spans="1:16" ht="16.5" customHeight="1">
      <c r="A13" s="7">
        <v>11</v>
      </c>
      <c r="B13" s="624" t="str">
        <f>'BASE DE CÁLCULO'!C33</f>
        <v>Encarregado de Manutenção</v>
      </c>
      <c r="C13" s="625"/>
      <c r="D13" s="626"/>
      <c r="E13" s="641">
        <f>'Enc. de Manutenção Item 1.11'!N160</f>
        <v>11631.99</v>
      </c>
      <c r="F13" s="642"/>
      <c r="G13" s="643"/>
      <c r="H13" s="644">
        <f>'BASE DE CÁLCULO'!F33</f>
        <v>1</v>
      </c>
      <c r="I13" s="645"/>
      <c r="J13" s="646"/>
      <c r="K13" s="641">
        <f t="shared" si="0"/>
        <v>11631.99</v>
      </c>
      <c r="L13" s="642"/>
      <c r="M13" s="643"/>
      <c r="N13" s="641">
        <f t="shared" si="1"/>
        <v>139583.88</v>
      </c>
      <c r="O13" s="642"/>
      <c r="P13" s="643"/>
    </row>
    <row r="14" spans="1:16" ht="16.5" customHeight="1">
      <c r="A14" s="7">
        <v>12</v>
      </c>
      <c r="B14" s="624" t="str">
        <f>'BASE DE CÁLCULO'!C34</f>
        <v>Auxiliar de Manutenção</v>
      </c>
      <c r="C14" s="625"/>
      <c r="D14" s="626"/>
      <c r="E14" s="641">
        <f>'Aux. de Manutenção Item 1.12'!N160</f>
        <v>6056.76</v>
      </c>
      <c r="F14" s="642"/>
      <c r="G14" s="643"/>
      <c r="H14" s="644">
        <f>'BASE DE CÁLCULO'!F34</f>
        <v>1</v>
      </c>
      <c r="I14" s="645"/>
      <c r="J14" s="646"/>
      <c r="K14" s="641">
        <f t="shared" si="0"/>
        <v>6056.76</v>
      </c>
      <c r="L14" s="642"/>
      <c r="M14" s="643"/>
      <c r="N14" s="641">
        <f t="shared" si="1"/>
        <v>72681.119999999995</v>
      </c>
      <c r="O14" s="642"/>
      <c r="P14" s="643"/>
    </row>
    <row r="15" spans="1:16" ht="33" customHeight="1">
      <c r="A15" s="7">
        <v>13</v>
      </c>
      <c r="B15" s="624" t="str">
        <f>'BASE DE CÁLCULO'!C35</f>
        <v>Operador de Câmara Frigorífica</v>
      </c>
      <c r="C15" s="625"/>
      <c r="D15" s="626"/>
      <c r="E15" s="641">
        <f>'Op. Câm. Frigorífica Item 1.13'!N160</f>
        <v>5493.72</v>
      </c>
      <c r="F15" s="642"/>
      <c r="G15" s="643"/>
      <c r="H15" s="644">
        <f>'BASE DE CÁLCULO'!F35</f>
        <v>2</v>
      </c>
      <c r="I15" s="645"/>
      <c r="J15" s="646"/>
      <c r="K15" s="641">
        <f t="shared" si="0"/>
        <v>10987.44</v>
      </c>
      <c r="L15" s="642"/>
      <c r="M15" s="643"/>
      <c r="N15" s="641">
        <f t="shared" si="1"/>
        <v>131849.28</v>
      </c>
      <c r="O15" s="642"/>
      <c r="P15" s="643"/>
    </row>
    <row r="16" spans="1:16" ht="16.5" customHeight="1">
      <c r="A16" s="633" t="s">
        <v>295</v>
      </c>
      <c r="B16" s="634"/>
      <c r="C16" s="634"/>
      <c r="D16" s="634"/>
      <c r="E16" s="634"/>
      <c r="F16" s="634"/>
      <c r="G16" s="635"/>
      <c r="H16" s="636">
        <f>SUM(H3:J15)</f>
        <v>73</v>
      </c>
      <c r="I16" s="619"/>
      <c r="J16" s="620"/>
      <c r="K16" s="612">
        <f>SUM(K3:M15)</f>
        <v>398036.1</v>
      </c>
      <c r="L16" s="613"/>
      <c r="M16" s="614"/>
      <c r="N16" s="612">
        <f>SUM(N3:P15)</f>
        <v>4776433.2</v>
      </c>
      <c r="O16" s="613"/>
      <c r="P16" s="614"/>
    </row>
    <row r="17" spans="1:16" ht="32.25" customHeight="1">
      <c r="A17" s="10"/>
      <c r="B17" s="10"/>
      <c r="C17" s="10"/>
      <c r="D17" s="10"/>
      <c r="E17" s="10"/>
      <c r="F17" s="10"/>
      <c r="G17" s="10"/>
      <c r="H17" s="10"/>
      <c r="I17" s="10"/>
      <c r="J17" s="10"/>
      <c r="K17" s="10"/>
      <c r="L17" s="10"/>
      <c r="M17" s="10"/>
      <c r="N17" s="29"/>
      <c r="O17" s="29"/>
      <c r="P17" s="29"/>
    </row>
    <row r="18" spans="1:16" ht="16.5" customHeight="1">
      <c r="A18" s="627" t="s">
        <v>296</v>
      </c>
      <c r="B18" s="628"/>
      <c r="C18" s="628"/>
      <c r="D18" s="628"/>
      <c r="E18" s="628"/>
      <c r="F18" s="628"/>
      <c r="G18" s="628"/>
      <c r="H18" s="628"/>
      <c r="I18" s="628"/>
      <c r="J18" s="629"/>
      <c r="K18" s="637" t="s">
        <v>297</v>
      </c>
      <c r="L18" s="638"/>
      <c r="M18" s="639"/>
      <c r="N18" s="640" t="s">
        <v>298</v>
      </c>
      <c r="O18" s="638"/>
      <c r="P18" s="639"/>
    </row>
    <row r="19" spans="1:16" ht="15.6">
      <c r="A19" s="630"/>
      <c r="B19" s="631"/>
      <c r="C19" s="631"/>
      <c r="D19" s="631"/>
      <c r="E19" s="631"/>
      <c r="F19" s="631"/>
      <c r="G19" s="631"/>
      <c r="H19" s="631"/>
      <c r="I19" s="631"/>
      <c r="J19" s="632"/>
      <c r="K19" s="609">
        <f>'Materiais Vitória'!B66</f>
        <v>1729.58</v>
      </c>
      <c r="L19" s="610"/>
      <c r="M19" s="611"/>
      <c r="N19" s="612">
        <f>'Materiais Vitória'!C66</f>
        <v>20754.96</v>
      </c>
      <c r="O19" s="613"/>
      <c r="P19" s="614"/>
    </row>
    <row r="20" spans="1:16" ht="15.6">
      <c r="A20" s="10"/>
      <c r="B20" s="10"/>
      <c r="C20" s="10"/>
      <c r="D20" s="10"/>
      <c r="E20" s="10"/>
      <c r="F20" s="10"/>
      <c r="G20" s="10"/>
      <c r="H20" s="10"/>
      <c r="I20" s="10"/>
      <c r="J20" s="10"/>
      <c r="K20" s="10"/>
      <c r="L20" s="10"/>
      <c r="M20" s="10"/>
      <c r="N20" s="29"/>
      <c r="O20" s="29"/>
      <c r="P20" s="29"/>
    </row>
    <row r="21" spans="1:16" ht="15.6">
      <c r="A21" s="10"/>
      <c r="B21" s="10"/>
      <c r="C21" s="10"/>
      <c r="D21" s="10"/>
      <c r="E21" s="10"/>
      <c r="F21" s="10"/>
      <c r="G21" s="10"/>
      <c r="H21" s="10"/>
      <c r="I21" s="10"/>
      <c r="J21" s="10"/>
      <c r="K21" s="10"/>
      <c r="L21" s="10"/>
      <c r="M21" s="10"/>
      <c r="N21" s="29"/>
      <c r="O21" s="29"/>
      <c r="P21" s="29"/>
    </row>
    <row r="22" spans="1:16" ht="15.6">
      <c r="A22" s="10"/>
      <c r="B22" s="10"/>
      <c r="C22" s="10"/>
      <c r="D22" s="615" t="s">
        <v>299</v>
      </c>
      <c r="E22" s="616"/>
      <c r="F22" s="616"/>
      <c r="G22" s="616"/>
      <c r="H22" s="616"/>
      <c r="I22" s="616"/>
      <c r="J22" s="616"/>
      <c r="K22" s="616"/>
      <c r="L22" s="616"/>
      <c r="M22" s="616"/>
      <c r="N22" s="617"/>
      <c r="O22" s="29"/>
      <c r="P22" s="29"/>
    </row>
    <row r="23" spans="1:16" ht="16.5" customHeight="1">
      <c r="A23" s="10"/>
      <c r="B23" s="10"/>
      <c r="C23" s="10"/>
      <c r="D23" s="618" t="s">
        <v>300</v>
      </c>
      <c r="E23" s="619"/>
      <c r="F23" s="619"/>
      <c r="G23" s="619"/>
      <c r="H23" s="619"/>
      <c r="I23" s="619"/>
      <c r="J23" s="619"/>
      <c r="K23" s="619"/>
      <c r="L23" s="619"/>
      <c r="M23" s="619"/>
      <c r="N23" s="620"/>
      <c r="O23" s="29"/>
      <c r="P23" s="29"/>
    </row>
    <row r="24" spans="1:16" ht="15.6">
      <c r="A24" s="10"/>
      <c r="B24" s="10"/>
      <c r="C24" s="10"/>
      <c r="D24" s="7" t="s">
        <v>25</v>
      </c>
      <c r="E24" s="621" t="s">
        <v>301</v>
      </c>
      <c r="F24" s="622"/>
      <c r="G24" s="622"/>
      <c r="H24" s="622"/>
      <c r="I24" s="622"/>
      <c r="J24" s="622"/>
      <c r="K24" s="622"/>
      <c r="L24" s="622"/>
      <c r="M24" s="623"/>
      <c r="N24" s="30">
        <f>K16+K19</f>
        <v>399765.68</v>
      </c>
      <c r="O24" s="29"/>
      <c r="P24" s="29"/>
    </row>
    <row r="25" spans="1:16" ht="33.75" customHeight="1">
      <c r="A25" s="10"/>
      <c r="B25" s="10"/>
      <c r="C25" s="10"/>
      <c r="D25" s="7" t="s">
        <v>27</v>
      </c>
      <c r="E25" s="624" t="s">
        <v>302</v>
      </c>
      <c r="F25" s="625"/>
      <c r="G25" s="625"/>
      <c r="H25" s="625"/>
      <c r="I25" s="625"/>
      <c r="J25" s="625"/>
      <c r="K25" s="625"/>
      <c r="L25" s="625"/>
      <c r="M25" s="626"/>
      <c r="N25" s="30">
        <f>N16+N19</f>
        <v>4797188.16</v>
      </c>
      <c r="O25" s="29"/>
      <c r="P25" s="29"/>
    </row>
    <row r="26" spans="1:16" ht="15.6">
      <c r="A26" s="27"/>
      <c r="B26" s="27"/>
      <c r="C26" s="27"/>
      <c r="D26" s="647"/>
      <c r="E26" s="647"/>
      <c r="F26" s="647"/>
      <c r="G26" s="647"/>
      <c r="H26" s="647"/>
      <c r="I26" s="647"/>
      <c r="J26" s="647"/>
      <c r="K26" s="647"/>
      <c r="L26" s="647"/>
      <c r="M26" s="647"/>
      <c r="N26" s="31"/>
      <c r="O26" s="31"/>
      <c r="P26" s="31"/>
    </row>
    <row r="27" spans="1:16" ht="34.5" customHeight="1">
      <c r="A27" s="10"/>
      <c r="B27" s="10"/>
      <c r="C27" s="10"/>
      <c r="D27" s="28"/>
      <c r="E27" s="28"/>
      <c r="F27" s="28"/>
      <c r="G27" s="28"/>
      <c r="H27" s="28"/>
      <c r="I27" s="28"/>
      <c r="J27" s="28"/>
      <c r="K27" s="28"/>
      <c r="L27" s="28"/>
      <c r="M27" s="28"/>
      <c r="N27" s="29"/>
      <c r="O27" s="29"/>
      <c r="P27" s="29"/>
    </row>
    <row r="28" spans="1:16" ht="15.6">
      <c r="A28" s="618" t="s">
        <v>303</v>
      </c>
      <c r="B28" s="619"/>
      <c r="C28" s="619"/>
      <c r="D28" s="619"/>
      <c r="E28" s="619"/>
      <c r="F28" s="619"/>
      <c r="G28" s="619"/>
      <c r="H28" s="619"/>
      <c r="I28" s="619"/>
      <c r="J28" s="619"/>
      <c r="K28" s="619"/>
      <c r="L28" s="619"/>
      <c r="M28" s="619"/>
      <c r="N28" s="619"/>
      <c r="O28" s="619"/>
      <c r="P28" s="620"/>
    </row>
    <row r="29" spans="1:16" ht="33" customHeight="1">
      <c r="A29" s="618" t="s">
        <v>290</v>
      </c>
      <c r="B29" s="619"/>
      <c r="C29" s="619"/>
      <c r="D29" s="620"/>
      <c r="E29" s="618" t="s">
        <v>291</v>
      </c>
      <c r="F29" s="619"/>
      <c r="G29" s="620"/>
      <c r="H29" s="618" t="s">
        <v>292</v>
      </c>
      <c r="I29" s="619"/>
      <c r="J29" s="620"/>
      <c r="K29" s="618" t="s">
        <v>293</v>
      </c>
      <c r="L29" s="619"/>
      <c r="M29" s="620"/>
      <c r="N29" s="618" t="s">
        <v>294</v>
      </c>
      <c r="O29" s="619"/>
      <c r="P29" s="620"/>
    </row>
    <row r="30" spans="1:16" ht="15.6">
      <c r="A30" s="7">
        <v>1</v>
      </c>
      <c r="B30" s="624" t="str">
        <f>'BASE DE CÁLCULO'!C37</f>
        <v>Armazenista</v>
      </c>
      <c r="C30" s="625"/>
      <c r="D30" s="626"/>
      <c r="E30" s="641">
        <f>'Armazenista Item 2.01'!N160</f>
        <v>4980.5200000000004</v>
      </c>
      <c r="F30" s="642"/>
      <c r="G30" s="643"/>
      <c r="H30" s="644">
        <f>'BASE DE CÁLCULO'!F37</f>
        <v>1</v>
      </c>
      <c r="I30" s="645"/>
      <c r="J30" s="646"/>
      <c r="K30" s="641">
        <f>E30*H30</f>
        <v>4980.5200000000004</v>
      </c>
      <c r="L30" s="642"/>
      <c r="M30" s="643"/>
      <c r="N30" s="641">
        <f>K30*12</f>
        <v>59766.239999999998</v>
      </c>
      <c r="O30" s="642"/>
      <c r="P30" s="643"/>
    </row>
    <row r="31" spans="1:16" ht="15.6">
      <c r="A31" s="7">
        <v>2</v>
      </c>
      <c r="B31" s="624" t="str">
        <f>'BASE DE CÁLCULO'!C38</f>
        <v>Atendente de Refeitório</v>
      </c>
      <c r="C31" s="625"/>
      <c r="D31" s="626"/>
      <c r="E31" s="641">
        <f>'At. de Refeitório Item 2.02'!N160</f>
        <v>4223.76</v>
      </c>
      <c r="F31" s="642"/>
      <c r="G31" s="643"/>
      <c r="H31" s="644">
        <f>'BASE DE CÁLCULO'!F38</f>
        <v>2</v>
      </c>
      <c r="I31" s="645"/>
      <c r="J31" s="646"/>
      <c r="K31" s="641">
        <f>E31*H31</f>
        <v>8447.52</v>
      </c>
      <c r="L31" s="642"/>
      <c r="M31" s="643"/>
      <c r="N31" s="641">
        <f>K31*12</f>
        <v>101370.24000000001</v>
      </c>
      <c r="O31" s="642"/>
      <c r="P31" s="643"/>
    </row>
    <row r="32" spans="1:16" ht="15.6">
      <c r="A32" s="7">
        <v>3</v>
      </c>
      <c r="B32" s="624" t="str">
        <f>'BASE DE CÁLCULO'!C39</f>
        <v>Auxliar de Cozinha I</v>
      </c>
      <c r="C32" s="625"/>
      <c r="D32" s="626"/>
      <c r="E32" s="641">
        <f>'Aux. Cozinha I Item 2.03'!N160</f>
        <v>5020.75</v>
      </c>
      <c r="F32" s="642"/>
      <c r="G32" s="643"/>
      <c r="H32" s="644">
        <f>'BASE DE CÁLCULO'!F39</f>
        <v>12</v>
      </c>
      <c r="I32" s="645"/>
      <c r="J32" s="646"/>
      <c r="K32" s="641">
        <f>E32*H32</f>
        <v>60249</v>
      </c>
      <c r="L32" s="642"/>
      <c r="M32" s="643"/>
      <c r="N32" s="641">
        <f>K32*12</f>
        <v>722988</v>
      </c>
      <c r="O32" s="642"/>
      <c r="P32" s="643"/>
    </row>
    <row r="33" spans="1:16" ht="15.6">
      <c r="A33" s="7">
        <v>4</v>
      </c>
      <c r="B33" s="624" t="str">
        <f>'BASE DE CÁLCULO'!C40</f>
        <v>Auxliar de Cozinha II</v>
      </c>
      <c r="C33" s="625"/>
      <c r="D33" s="626"/>
      <c r="E33" s="641">
        <f>'Aux. Cozinha II Item 2.04'!N160</f>
        <v>5391.84</v>
      </c>
      <c r="F33" s="642"/>
      <c r="G33" s="643"/>
      <c r="H33" s="644">
        <f>'BASE DE CÁLCULO'!F40</f>
        <v>4</v>
      </c>
      <c r="I33" s="645"/>
      <c r="J33" s="646"/>
      <c r="K33" s="641">
        <f>E33*H33</f>
        <v>21567.360000000001</v>
      </c>
      <c r="L33" s="642"/>
      <c r="M33" s="643"/>
      <c r="N33" s="641">
        <f>K33*12</f>
        <v>258808.32000000001</v>
      </c>
      <c r="O33" s="642"/>
      <c r="P33" s="643"/>
    </row>
    <row r="34" spans="1:16" ht="15.6">
      <c r="A34" s="7">
        <v>5</v>
      </c>
      <c r="B34" s="624" t="str">
        <f>'BASE DE CÁLCULO'!C41</f>
        <v>Auxiliar de Cozinha III</v>
      </c>
      <c r="C34" s="625"/>
      <c r="D34" s="626"/>
      <c r="E34" s="641">
        <f>'Aux. Cozinha III Item 2.05'!N160</f>
        <v>4967.21</v>
      </c>
      <c r="F34" s="642"/>
      <c r="G34" s="643"/>
      <c r="H34" s="644">
        <f>'BASE DE CÁLCULO'!F41</f>
        <v>1</v>
      </c>
      <c r="I34" s="645"/>
      <c r="J34" s="646"/>
      <c r="K34" s="641">
        <f t="shared" ref="K34:K39" si="2">E34*H34</f>
        <v>4967.21</v>
      </c>
      <c r="L34" s="642"/>
      <c r="M34" s="643"/>
      <c r="N34" s="641">
        <f t="shared" ref="N34:N39" si="3">K34*12</f>
        <v>59606.52</v>
      </c>
      <c r="O34" s="642"/>
      <c r="P34" s="643"/>
    </row>
    <row r="35" spans="1:16" ht="15.6">
      <c r="A35" s="7">
        <v>6</v>
      </c>
      <c r="B35" s="624" t="str">
        <f>'BASE DE CÁLCULO'!C42</f>
        <v>Cozinheiro</v>
      </c>
      <c r="C35" s="625"/>
      <c r="D35" s="626"/>
      <c r="E35" s="641">
        <f>'Cozinheiro Item 2.06'!N160</f>
        <v>6144.41</v>
      </c>
      <c r="F35" s="642"/>
      <c r="G35" s="643"/>
      <c r="H35" s="644">
        <f>'BASE DE CÁLCULO'!F42</f>
        <v>4</v>
      </c>
      <c r="I35" s="645"/>
      <c r="J35" s="646"/>
      <c r="K35" s="641">
        <f t="shared" si="2"/>
        <v>24577.64</v>
      </c>
      <c r="L35" s="642"/>
      <c r="M35" s="643"/>
      <c r="N35" s="641">
        <f t="shared" si="3"/>
        <v>294931.68</v>
      </c>
      <c r="O35" s="642"/>
      <c r="P35" s="643"/>
    </row>
    <row r="36" spans="1:16" ht="15.6">
      <c r="A36" s="7">
        <v>7</v>
      </c>
      <c r="B36" s="624" t="str">
        <f>'BASE DE CÁLCULO'!C43</f>
        <v>ASG I</v>
      </c>
      <c r="C36" s="625"/>
      <c r="D36" s="626"/>
      <c r="E36" s="641">
        <f>'ASG I Item 2.07'!N160</f>
        <v>4139.8100000000004</v>
      </c>
      <c r="F36" s="642"/>
      <c r="G36" s="643"/>
      <c r="H36" s="644">
        <f>'BASE DE CÁLCULO'!F43</f>
        <v>2</v>
      </c>
      <c r="I36" s="645"/>
      <c r="J36" s="646"/>
      <c r="K36" s="641">
        <f t="shared" si="2"/>
        <v>8279.6200000000008</v>
      </c>
      <c r="L36" s="642"/>
      <c r="M36" s="643"/>
      <c r="N36" s="641">
        <f t="shared" si="3"/>
        <v>99355.44</v>
      </c>
      <c r="O36" s="642"/>
      <c r="P36" s="643"/>
    </row>
    <row r="37" spans="1:16" ht="15.6">
      <c r="A37" s="7">
        <v>8</v>
      </c>
      <c r="B37" s="624" t="str">
        <f>'BASE DE CÁLCULO'!C44</f>
        <v>ASG II</v>
      </c>
      <c r="C37" s="625"/>
      <c r="D37" s="626"/>
      <c r="E37" s="641">
        <f>'ASG II Item 2.08'!N160</f>
        <v>5315.47</v>
      </c>
      <c r="F37" s="642"/>
      <c r="G37" s="643"/>
      <c r="H37" s="644">
        <f>'BASE DE CÁLCULO'!F44</f>
        <v>3</v>
      </c>
      <c r="I37" s="645"/>
      <c r="J37" s="646"/>
      <c r="K37" s="641">
        <f t="shared" si="2"/>
        <v>15946.41</v>
      </c>
      <c r="L37" s="642"/>
      <c r="M37" s="643"/>
      <c r="N37" s="641">
        <f t="shared" si="3"/>
        <v>191356.92</v>
      </c>
      <c r="O37" s="642"/>
      <c r="P37" s="643"/>
    </row>
    <row r="38" spans="1:16" ht="15.6">
      <c r="A38" s="7">
        <v>9</v>
      </c>
      <c r="B38" s="624" t="str">
        <f>'BASE DE CÁLCULO'!C45</f>
        <v>Supervisor de Cozinha</v>
      </c>
      <c r="C38" s="625"/>
      <c r="D38" s="626"/>
      <c r="E38" s="641">
        <f>'Sup. de Cozinha Item 2.09'!N160</f>
        <v>8692.44</v>
      </c>
      <c r="F38" s="642"/>
      <c r="G38" s="643"/>
      <c r="H38" s="644">
        <f>'BASE DE CÁLCULO'!F45</f>
        <v>2</v>
      </c>
      <c r="I38" s="645"/>
      <c r="J38" s="646"/>
      <c r="K38" s="641">
        <f t="shared" si="2"/>
        <v>17384.88</v>
      </c>
      <c r="L38" s="642"/>
      <c r="M38" s="643"/>
      <c r="N38" s="641">
        <f t="shared" si="3"/>
        <v>208618.56</v>
      </c>
      <c r="O38" s="642"/>
      <c r="P38" s="643"/>
    </row>
    <row r="39" spans="1:16" ht="15.6">
      <c r="A39" s="7">
        <v>10</v>
      </c>
      <c r="B39" s="624" t="str">
        <f>'BASE DE CÁLCULO'!C46</f>
        <v>Oficial de Manutenção</v>
      </c>
      <c r="C39" s="625"/>
      <c r="D39" s="626"/>
      <c r="E39" s="641">
        <f>' Oficial de Manut. Item 2.10'!N160</f>
        <v>5638.6</v>
      </c>
      <c r="F39" s="642"/>
      <c r="G39" s="643"/>
      <c r="H39" s="644">
        <f>'BASE DE CÁLCULO'!F46</f>
        <v>1</v>
      </c>
      <c r="I39" s="645"/>
      <c r="J39" s="646"/>
      <c r="K39" s="641">
        <f t="shared" si="2"/>
        <v>5638.6</v>
      </c>
      <c r="L39" s="642"/>
      <c r="M39" s="643"/>
      <c r="N39" s="641">
        <f t="shared" si="3"/>
        <v>67663.199999999997</v>
      </c>
      <c r="O39" s="642"/>
      <c r="P39" s="643"/>
    </row>
    <row r="40" spans="1:16" ht="16.5" customHeight="1">
      <c r="A40" s="633" t="s">
        <v>295</v>
      </c>
      <c r="B40" s="634"/>
      <c r="C40" s="634"/>
      <c r="D40" s="634"/>
      <c r="E40" s="634"/>
      <c r="F40" s="634"/>
      <c r="G40" s="635"/>
      <c r="H40" s="636">
        <f>SUM(H22:J39)</f>
        <v>32</v>
      </c>
      <c r="I40" s="619"/>
      <c r="J40" s="620"/>
      <c r="K40" s="612">
        <f>SUM(K30:M39)</f>
        <v>172038.76</v>
      </c>
      <c r="L40" s="613"/>
      <c r="M40" s="614"/>
      <c r="N40" s="612">
        <f>SUM(N30:P39)</f>
        <v>2064465.12</v>
      </c>
      <c r="O40" s="613"/>
      <c r="P40" s="614"/>
    </row>
    <row r="41" spans="1:16" ht="36.75" customHeight="1">
      <c r="A41" s="10"/>
      <c r="B41" s="10"/>
      <c r="C41" s="10"/>
      <c r="D41" s="10"/>
      <c r="E41" s="10"/>
      <c r="F41" s="10"/>
      <c r="G41" s="10"/>
      <c r="H41" s="10"/>
      <c r="I41" s="10"/>
      <c r="J41" s="10"/>
      <c r="K41" s="10"/>
      <c r="L41" s="10"/>
      <c r="M41" s="10"/>
      <c r="N41" s="29"/>
      <c r="O41" s="29"/>
      <c r="P41" s="29"/>
    </row>
    <row r="42" spans="1:16" ht="16.5" customHeight="1">
      <c r="A42" s="627" t="s">
        <v>304</v>
      </c>
      <c r="B42" s="628"/>
      <c r="C42" s="628"/>
      <c r="D42" s="628"/>
      <c r="E42" s="628"/>
      <c r="F42" s="628"/>
      <c r="G42" s="628"/>
      <c r="H42" s="628"/>
      <c r="I42" s="628"/>
      <c r="J42" s="629"/>
      <c r="K42" s="637" t="s">
        <v>297</v>
      </c>
      <c r="L42" s="638"/>
      <c r="M42" s="639"/>
      <c r="N42" s="640" t="s">
        <v>298</v>
      </c>
      <c r="O42" s="638"/>
      <c r="P42" s="639"/>
    </row>
    <row r="43" spans="1:16" ht="16.5" customHeight="1">
      <c r="A43" s="630"/>
      <c r="B43" s="631"/>
      <c r="C43" s="631"/>
      <c r="D43" s="631"/>
      <c r="E43" s="631"/>
      <c r="F43" s="631"/>
      <c r="G43" s="631"/>
      <c r="H43" s="631"/>
      <c r="I43" s="631"/>
      <c r="J43" s="632"/>
      <c r="K43" s="609">
        <f>'Materiais Alegre&amp;JM'!B60</f>
        <v>899.84</v>
      </c>
      <c r="L43" s="610"/>
      <c r="M43" s="611"/>
      <c r="N43" s="612">
        <f>'Materiais Alegre&amp;JM'!C60</f>
        <v>10798.08</v>
      </c>
      <c r="O43" s="613"/>
      <c r="P43" s="614"/>
    </row>
    <row r="44" spans="1:16" ht="16.5" customHeight="1">
      <c r="A44" s="10"/>
      <c r="B44" s="10"/>
      <c r="C44" s="10"/>
      <c r="D44" s="10"/>
      <c r="E44" s="10"/>
      <c r="F44" s="10"/>
      <c r="G44" s="10"/>
      <c r="H44" s="10"/>
      <c r="I44" s="10"/>
      <c r="J44" s="10"/>
      <c r="K44" s="10"/>
      <c r="L44" s="10"/>
      <c r="M44" s="10"/>
      <c r="N44" s="29"/>
      <c r="O44" s="29"/>
      <c r="P44" s="29"/>
    </row>
    <row r="45" spans="1:16" ht="21" customHeight="1">
      <c r="A45" s="10"/>
      <c r="B45" s="10"/>
      <c r="C45" s="10"/>
      <c r="D45" s="10"/>
      <c r="E45" s="10"/>
      <c r="F45" s="10"/>
      <c r="G45" s="10"/>
      <c r="H45" s="10"/>
      <c r="I45" s="10"/>
      <c r="J45" s="10"/>
      <c r="K45" s="10"/>
      <c r="L45" s="10"/>
      <c r="M45" s="10"/>
      <c r="N45" s="29"/>
      <c r="O45" s="29"/>
      <c r="P45" s="29"/>
    </row>
    <row r="46" spans="1:16" ht="15.6">
      <c r="A46" s="10"/>
      <c r="B46" s="10"/>
      <c r="C46" s="10"/>
      <c r="D46" s="615" t="s">
        <v>305</v>
      </c>
      <c r="E46" s="616"/>
      <c r="F46" s="616"/>
      <c r="G46" s="616"/>
      <c r="H46" s="616"/>
      <c r="I46" s="616"/>
      <c r="J46" s="616"/>
      <c r="K46" s="616"/>
      <c r="L46" s="616"/>
      <c r="M46" s="616"/>
      <c r="N46" s="617"/>
      <c r="O46" s="29"/>
      <c r="P46" s="29"/>
    </row>
    <row r="47" spans="1:16" ht="15.6">
      <c r="A47" s="10"/>
      <c r="B47" s="10"/>
      <c r="C47" s="10"/>
      <c r="D47" s="618" t="s">
        <v>300</v>
      </c>
      <c r="E47" s="619"/>
      <c r="F47" s="619"/>
      <c r="G47" s="619"/>
      <c r="H47" s="619"/>
      <c r="I47" s="619"/>
      <c r="J47" s="619"/>
      <c r="K47" s="619"/>
      <c r="L47" s="619"/>
      <c r="M47" s="619"/>
      <c r="N47" s="620"/>
      <c r="O47" s="29"/>
      <c r="P47" s="29"/>
    </row>
    <row r="48" spans="1:16" ht="15.6">
      <c r="A48" s="10"/>
      <c r="B48" s="10"/>
      <c r="C48" s="10"/>
      <c r="D48" s="7" t="s">
        <v>25</v>
      </c>
      <c r="E48" s="621" t="s">
        <v>301</v>
      </c>
      <c r="F48" s="622"/>
      <c r="G48" s="622"/>
      <c r="H48" s="622"/>
      <c r="I48" s="622"/>
      <c r="J48" s="622"/>
      <c r="K48" s="622"/>
      <c r="L48" s="622"/>
      <c r="M48" s="623"/>
      <c r="N48" s="30">
        <f>K40+K43</f>
        <v>172938.6</v>
      </c>
      <c r="O48" s="29"/>
      <c r="P48" s="29"/>
    </row>
    <row r="49" spans="1:16" ht="36.75" customHeight="1">
      <c r="A49" s="10"/>
      <c r="B49" s="10"/>
      <c r="C49" s="10"/>
      <c r="D49" s="7" t="s">
        <v>27</v>
      </c>
      <c r="E49" s="624" t="s">
        <v>302</v>
      </c>
      <c r="F49" s="625"/>
      <c r="G49" s="625"/>
      <c r="H49" s="625"/>
      <c r="I49" s="625"/>
      <c r="J49" s="625"/>
      <c r="K49" s="625"/>
      <c r="L49" s="625"/>
      <c r="M49" s="626"/>
      <c r="N49" s="30">
        <f>N40+N43</f>
        <v>2075263.2</v>
      </c>
      <c r="O49" s="29"/>
      <c r="P49" s="29"/>
    </row>
    <row r="50" spans="1:16" ht="15.6">
      <c r="A50" s="27"/>
      <c r="B50" s="27"/>
      <c r="C50" s="27"/>
      <c r="D50" s="647"/>
      <c r="E50" s="647"/>
      <c r="F50" s="647"/>
      <c r="G50" s="647"/>
      <c r="H50" s="647"/>
      <c r="I50" s="647"/>
      <c r="J50" s="647"/>
      <c r="K50" s="647"/>
      <c r="L50" s="647"/>
      <c r="M50" s="647"/>
      <c r="N50" s="31"/>
      <c r="O50" s="31"/>
      <c r="P50" s="31"/>
    </row>
    <row r="51" spans="1:16" ht="15.6">
      <c r="A51" s="10"/>
      <c r="B51" s="10"/>
      <c r="C51" s="10"/>
      <c r="D51" s="28"/>
      <c r="E51" s="28"/>
      <c r="F51" s="28"/>
      <c r="G51" s="28"/>
      <c r="H51" s="28"/>
      <c r="I51" s="28"/>
      <c r="J51" s="28"/>
      <c r="K51" s="28"/>
      <c r="L51" s="28"/>
      <c r="M51" s="28"/>
      <c r="N51" s="29"/>
      <c r="O51" s="29"/>
      <c r="P51" s="29"/>
    </row>
    <row r="52" spans="1:16" ht="20.25" customHeight="1">
      <c r="A52" s="10"/>
      <c r="B52" s="10"/>
      <c r="C52" s="10"/>
      <c r="D52" s="28"/>
      <c r="E52" s="28"/>
      <c r="F52" s="28"/>
      <c r="G52" s="28"/>
      <c r="H52" s="28"/>
      <c r="I52" s="28"/>
      <c r="J52" s="28"/>
      <c r="K52" s="28"/>
      <c r="L52" s="28"/>
      <c r="M52" s="28"/>
      <c r="N52" s="29"/>
      <c r="O52" s="29"/>
      <c r="P52" s="29"/>
    </row>
    <row r="53" spans="1:16" ht="16.5" customHeight="1">
      <c r="A53" s="618" t="s">
        <v>306</v>
      </c>
      <c r="B53" s="619"/>
      <c r="C53" s="619"/>
      <c r="D53" s="619"/>
      <c r="E53" s="619"/>
      <c r="F53" s="619"/>
      <c r="G53" s="619"/>
      <c r="H53" s="619"/>
      <c r="I53" s="619"/>
      <c r="J53" s="619"/>
      <c r="K53" s="619"/>
      <c r="L53" s="619"/>
      <c r="M53" s="619"/>
      <c r="N53" s="619"/>
      <c r="O53" s="619"/>
      <c r="P53" s="620"/>
    </row>
    <row r="54" spans="1:16" ht="33" customHeight="1">
      <c r="A54" s="618" t="s">
        <v>290</v>
      </c>
      <c r="B54" s="619"/>
      <c r="C54" s="619"/>
      <c r="D54" s="620"/>
      <c r="E54" s="618" t="s">
        <v>291</v>
      </c>
      <c r="F54" s="619"/>
      <c r="G54" s="620"/>
      <c r="H54" s="618" t="s">
        <v>292</v>
      </c>
      <c r="I54" s="619"/>
      <c r="J54" s="620"/>
      <c r="K54" s="618" t="s">
        <v>293</v>
      </c>
      <c r="L54" s="619"/>
      <c r="M54" s="620"/>
      <c r="N54" s="618" t="s">
        <v>294</v>
      </c>
      <c r="O54" s="619"/>
      <c r="P54" s="620"/>
    </row>
    <row r="55" spans="1:16" ht="15.6">
      <c r="A55" s="7">
        <v>1</v>
      </c>
      <c r="B55" s="624" t="str">
        <f>'BASE DE CÁLCULO'!C48</f>
        <v>Armazenista</v>
      </c>
      <c r="C55" s="625"/>
      <c r="D55" s="626"/>
      <c r="E55" s="641">
        <f>'Armazenista Item 3.01'!N160</f>
        <v>5629.31</v>
      </c>
      <c r="F55" s="642"/>
      <c r="G55" s="643"/>
      <c r="H55" s="644">
        <f>'BASE DE CÁLCULO'!F48</f>
        <v>1</v>
      </c>
      <c r="I55" s="645"/>
      <c r="J55" s="646"/>
      <c r="K55" s="641">
        <f t="shared" ref="K55:K64" si="4">E55*H55</f>
        <v>5629.31</v>
      </c>
      <c r="L55" s="642"/>
      <c r="M55" s="643"/>
      <c r="N55" s="641">
        <f>K55*12</f>
        <v>67551.72</v>
      </c>
      <c r="O55" s="642"/>
      <c r="P55" s="643"/>
    </row>
    <row r="56" spans="1:16" ht="15.6">
      <c r="A56" s="7">
        <v>2</v>
      </c>
      <c r="B56" s="624" t="str">
        <f>'BASE DE CÁLCULO'!C49</f>
        <v>Atendente de Refeitório</v>
      </c>
      <c r="C56" s="625"/>
      <c r="D56" s="626"/>
      <c r="E56" s="641">
        <f>'At. de Refeitório Item 3.02'!N160</f>
        <v>4231.59</v>
      </c>
      <c r="F56" s="642"/>
      <c r="G56" s="643"/>
      <c r="H56" s="644">
        <f>'BASE DE CÁLCULO'!F49</f>
        <v>2</v>
      </c>
      <c r="I56" s="645"/>
      <c r="J56" s="646"/>
      <c r="K56" s="641">
        <f t="shared" si="4"/>
        <v>8463.18</v>
      </c>
      <c r="L56" s="642"/>
      <c r="M56" s="643"/>
      <c r="N56" s="641">
        <f t="shared" ref="N56:N64" si="5">K56*12</f>
        <v>101558.16</v>
      </c>
      <c r="O56" s="642"/>
      <c r="P56" s="643"/>
    </row>
    <row r="57" spans="1:16" ht="15.6">
      <c r="A57" s="7">
        <v>3</v>
      </c>
      <c r="B57" s="624" t="str">
        <f>'BASE DE CÁLCULO'!C50</f>
        <v>Auxliar de Cozinha I</v>
      </c>
      <c r="C57" s="625"/>
      <c r="D57" s="626"/>
      <c r="E57" s="641">
        <f>'Aux. Cozinha I Item 3.03'!N160</f>
        <v>5036.8999999999996</v>
      </c>
      <c r="F57" s="642"/>
      <c r="G57" s="643"/>
      <c r="H57" s="644">
        <f>'BASE DE CÁLCULO'!F50</f>
        <v>9</v>
      </c>
      <c r="I57" s="645"/>
      <c r="J57" s="646"/>
      <c r="K57" s="641">
        <f t="shared" si="4"/>
        <v>45332.1</v>
      </c>
      <c r="L57" s="642"/>
      <c r="M57" s="643"/>
      <c r="N57" s="641">
        <f t="shared" si="5"/>
        <v>543985.19999999995</v>
      </c>
      <c r="O57" s="642"/>
      <c r="P57" s="643"/>
    </row>
    <row r="58" spans="1:16" ht="15.6">
      <c r="A58" s="7">
        <v>4</v>
      </c>
      <c r="B58" s="624" t="str">
        <f>'BASE DE CÁLCULO'!C51</f>
        <v>Auxliar de Cozinha II</v>
      </c>
      <c r="C58" s="625"/>
      <c r="D58" s="626"/>
      <c r="E58" s="641">
        <f>'Aux. Cozinha II Item 3.04'!N160</f>
        <v>5354.37</v>
      </c>
      <c r="F58" s="642"/>
      <c r="G58" s="643"/>
      <c r="H58" s="644">
        <f>'BASE DE CÁLCULO'!F51</f>
        <v>2</v>
      </c>
      <c r="I58" s="645"/>
      <c r="J58" s="646"/>
      <c r="K58" s="641">
        <f t="shared" si="4"/>
        <v>10708.74</v>
      </c>
      <c r="L58" s="642"/>
      <c r="M58" s="643"/>
      <c r="N58" s="641">
        <f t="shared" si="5"/>
        <v>128504.88</v>
      </c>
      <c r="O58" s="642"/>
      <c r="P58" s="643"/>
    </row>
    <row r="59" spans="1:16" ht="15.6">
      <c r="A59" s="7">
        <v>5</v>
      </c>
      <c r="B59" s="624" t="str">
        <f>'BASE DE CÁLCULO'!C52</f>
        <v>Auxiliar de Cozinha III</v>
      </c>
      <c r="C59" s="625"/>
      <c r="D59" s="626"/>
      <c r="E59" s="641">
        <f>'Aux. Cozinha III Item 3.05'!N160</f>
        <v>5025.3900000000003</v>
      </c>
      <c r="F59" s="642"/>
      <c r="G59" s="643"/>
      <c r="H59" s="644">
        <f>'BASE DE CÁLCULO'!F52</f>
        <v>1</v>
      </c>
      <c r="I59" s="645"/>
      <c r="J59" s="646"/>
      <c r="K59" s="641">
        <f t="shared" si="4"/>
        <v>5025.3900000000003</v>
      </c>
      <c r="L59" s="642"/>
      <c r="M59" s="643"/>
      <c r="N59" s="641">
        <f t="shared" si="5"/>
        <v>60304.68</v>
      </c>
      <c r="O59" s="642"/>
      <c r="P59" s="643"/>
    </row>
    <row r="60" spans="1:16" ht="15.6">
      <c r="A60" s="7">
        <v>6</v>
      </c>
      <c r="B60" s="624" t="str">
        <f>'BASE DE CÁLCULO'!C53</f>
        <v>Cozinheiro</v>
      </c>
      <c r="C60" s="625"/>
      <c r="D60" s="626"/>
      <c r="E60" s="641">
        <f>'Cozinheiro Item 3.06'!N160</f>
        <v>6361.18</v>
      </c>
      <c r="F60" s="642"/>
      <c r="G60" s="643"/>
      <c r="H60" s="644">
        <f>'BASE DE CÁLCULO'!F53</f>
        <v>2</v>
      </c>
      <c r="I60" s="645"/>
      <c r="J60" s="646"/>
      <c r="K60" s="641">
        <f t="shared" si="4"/>
        <v>12722.36</v>
      </c>
      <c r="L60" s="642"/>
      <c r="M60" s="643"/>
      <c r="N60" s="641">
        <f t="shared" si="5"/>
        <v>152668.32</v>
      </c>
      <c r="O60" s="642"/>
      <c r="P60" s="643"/>
    </row>
    <row r="61" spans="1:16" ht="15.6">
      <c r="A61" s="7">
        <v>7</v>
      </c>
      <c r="B61" s="624" t="str">
        <f>'BASE DE CÁLCULO'!C54</f>
        <v>ASG I</v>
      </c>
      <c r="C61" s="625"/>
      <c r="D61" s="626"/>
      <c r="E61" s="641">
        <f>'ASG I Item 3.07'!N160</f>
        <v>4192.8500000000004</v>
      </c>
      <c r="F61" s="642"/>
      <c r="G61" s="643"/>
      <c r="H61" s="644">
        <f>'BASE DE CÁLCULO'!F54</f>
        <v>2</v>
      </c>
      <c r="I61" s="645"/>
      <c r="J61" s="646"/>
      <c r="K61" s="641">
        <f t="shared" si="4"/>
        <v>8385.7000000000007</v>
      </c>
      <c r="L61" s="642"/>
      <c r="M61" s="643"/>
      <c r="N61" s="641">
        <f t="shared" si="5"/>
        <v>100628.4</v>
      </c>
      <c r="O61" s="642"/>
      <c r="P61" s="643"/>
    </row>
    <row r="62" spans="1:16" ht="15.6">
      <c r="A62" s="7">
        <v>8</v>
      </c>
      <c r="B62" s="624" t="str">
        <f>'BASE DE CÁLCULO'!C55</f>
        <v>ASG II</v>
      </c>
      <c r="C62" s="625"/>
      <c r="D62" s="626"/>
      <c r="E62" s="641">
        <f>'ASG II Item 3.08'!N160</f>
        <v>5375.26</v>
      </c>
      <c r="F62" s="642"/>
      <c r="G62" s="643"/>
      <c r="H62" s="644">
        <f>'BASE DE CÁLCULO'!F55</f>
        <v>1</v>
      </c>
      <c r="I62" s="645"/>
      <c r="J62" s="646"/>
      <c r="K62" s="641">
        <f t="shared" si="4"/>
        <v>5375.26</v>
      </c>
      <c r="L62" s="642"/>
      <c r="M62" s="643"/>
      <c r="N62" s="641">
        <f t="shared" si="5"/>
        <v>64503.12</v>
      </c>
      <c r="O62" s="642"/>
      <c r="P62" s="643"/>
    </row>
    <row r="63" spans="1:16" ht="15.6">
      <c r="A63" s="7">
        <v>9</v>
      </c>
      <c r="B63" s="624" t="str">
        <f>'BASE DE CÁLCULO'!C56</f>
        <v>Supervisor de Cozinha</v>
      </c>
      <c r="C63" s="625"/>
      <c r="D63" s="626"/>
      <c r="E63" s="641">
        <f>'Sup. de Cozinha Item 3.09'!N160</f>
        <v>8769.85</v>
      </c>
      <c r="F63" s="642"/>
      <c r="G63" s="643"/>
      <c r="H63" s="644">
        <f>'BASE DE CÁLCULO'!F56</f>
        <v>2</v>
      </c>
      <c r="I63" s="645"/>
      <c r="J63" s="646"/>
      <c r="K63" s="641">
        <f t="shared" si="4"/>
        <v>17539.7</v>
      </c>
      <c r="L63" s="642"/>
      <c r="M63" s="643"/>
      <c r="N63" s="641">
        <f t="shared" si="5"/>
        <v>210476.4</v>
      </c>
      <c r="O63" s="642"/>
      <c r="P63" s="643"/>
    </row>
    <row r="64" spans="1:16" ht="15.6">
      <c r="A64" s="7">
        <v>10</v>
      </c>
      <c r="B64" s="624" t="str">
        <f>'BASE DE CÁLCULO'!C57</f>
        <v>Oficial de Manutenção</v>
      </c>
      <c r="C64" s="625"/>
      <c r="D64" s="626"/>
      <c r="E64" s="641">
        <f>'Oficial de Manut. Item 3.10'!N160</f>
        <v>5691.85</v>
      </c>
      <c r="F64" s="642"/>
      <c r="G64" s="643"/>
      <c r="H64" s="644">
        <f>'BASE DE CÁLCULO'!F57</f>
        <v>1</v>
      </c>
      <c r="I64" s="645"/>
      <c r="J64" s="646"/>
      <c r="K64" s="641">
        <f t="shared" si="4"/>
        <v>5691.85</v>
      </c>
      <c r="L64" s="642"/>
      <c r="M64" s="643"/>
      <c r="N64" s="641">
        <f t="shared" si="5"/>
        <v>68302.2</v>
      </c>
      <c r="O64" s="642"/>
      <c r="P64" s="643"/>
    </row>
    <row r="65" spans="1:16" ht="16.5" customHeight="1">
      <c r="A65" s="633" t="s">
        <v>295</v>
      </c>
      <c r="B65" s="634"/>
      <c r="C65" s="634"/>
      <c r="D65" s="634"/>
      <c r="E65" s="634"/>
      <c r="F65" s="634"/>
      <c r="G65" s="635"/>
      <c r="H65" s="636">
        <f>SUM(H41:J64)</f>
        <v>23</v>
      </c>
      <c r="I65" s="619"/>
      <c r="J65" s="620"/>
      <c r="K65" s="612">
        <f>SUM(K55:M64)</f>
        <v>124873.59</v>
      </c>
      <c r="L65" s="613"/>
      <c r="M65" s="614"/>
      <c r="N65" s="612">
        <f>SUM(N55:P64)</f>
        <v>1498483.08</v>
      </c>
      <c r="O65" s="613"/>
      <c r="P65" s="614"/>
    </row>
    <row r="66" spans="1:16" ht="35.25" customHeight="1">
      <c r="A66" s="10"/>
      <c r="B66" s="10"/>
      <c r="C66" s="10"/>
      <c r="D66" s="10"/>
      <c r="E66" s="10"/>
      <c r="F66" s="10"/>
      <c r="G66" s="10"/>
      <c r="H66" s="10"/>
      <c r="I66" s="10"/>
      <c r="J66" s="10"/>
      <c r="K66" s="10"/>
      <c r="L66" s="10"/>
      <c r="M66" s="10"/>
      <c r="N66" s="29"/>
      <c r="O66" s="29"/>
      <c r="P66" s="29"/>
    </row>
    <row r="67" spans="1:16" ht="15.6">
      <c r="A67" s="627" t="s">
        <v>307</v>
      </c>
      <c r="B67" s="628"/>
      <c r="C67" s="628"/>
      <c r="D67" s="628"/>
      <c r="E67" s="628"/>
      <c r="F67" s="628"/>
      <c r="G67" s="628"/>
      <c r="H67" s="628"/>
      <c r="I67" s="628"/>
      <c r="J67" s="629"/>
      <c r="K67" s="637" t="s">
        <v>297</v>
      </c>
      <c r="L67" s="638"/>
      <c r="M67" s="639"/>
      <c r="N67" s="640" t="s">
        <v>298</v>
      </c>
      <c r="O67" s="638"/>
      <c r="P67" s="639"/>
    </row>
    <row r="68" spans="1:16" ht="16.5" customHeight="1">
      <c r="A68" s="630"/>
      <c r="B68" s="631"/>
      <c r="C68" s="631"/>
      <c r="D68" s="631"/>
      <c r="E68" s="631"/>
      <c r="F68" s="631"/>
      <c r="G68" s="631"/>
      <c r="H68" s="631"/>
      <c r="I68" s="631"/>
      <c r="J68" s="632"/>
      <c r="K68" s="609">
        <f>'Materiais São Mateus'!B74</f>
        <v>790.49</v>
      </c>
      <c r="L68" s="610"/>
      <c r="M68" s="611"/>
      <c r="N68" s="612">
        <f>'Materiais São Mateus'!C74</f>
        <v>9485.8799999999992</v>
      </c>
      <c r="O68" s="613"/>
      <c r="P68" s="614"/>
    </row>
    <row r="69" spans="1:16" ht="16.5" customHeight="1">
      <c r="A69" s="10"/>
      <c r="B69" s="10"/>
      <c r="C69" s="10"/>
      <c r="D69" s="10"/>
      <c r="E69" s="10"/>
      <c r="F69" s="10"/>
      <c r="G69" s="10"/>
      <c r="H69" s="10"/>
      <c r="I69" s="10"/>
      <c r="J69" s="10"/>
      <c r="K69" s="10"/>
      <c r="L69" s="10"/>
      <c r="M69" s="10"/>
      <c r="N69" s="29"/>
      <c r="O69" s="29"/>
      <c r="P69" s="29"/>
    </row>
    <row r="70" spans="1:16" ht="18" customHeight="1">
      <c r="A70" s="10"/>
      <c r="B70" s="10"/>
      <c r="C70" s="10"/>
      <c r="D70" s="10"/>
      <c r="E70" s="10"/>
      <c r="F70" s="10"/>
      <c r="G70" s="10"/>
      <c r="H70" s="10"/>
      <c r="I70" s="10"/>
      <c r="J70" s="10"/>
      <c r="K70" s="10"/>
      <c r="L70" s="10"/>
      <c r="M70" s="10"/>
      <c r="N70" s="29"/>
      <c r="O70" s="29"/>
      <c r="P70" s="29"/>
    </row>
    <row r="71" spans="1:16" ht="15.6">
      <c r="A71" s="10"/>
      <c r="B71" s="10"/>
      <c r="C71" s="10"/>
      <c r="D71" s="615" t="s">
        <v>308</v>
      </c>
      <c r="E71" s="616"/>
      <c r="F71" s="616"/>
      <c r="G71" s="616"/>
      <c r="H71" s="616"/>
      <c r="I71" s="616"/>
      <c r="J71" s="616"/>
      <c r="K71" s="616"/>
      <c r="L71" s="616"/>
      <c r="M71" s="616"/>
      <c r="N71" s="617"/>
      <c r="O71" s="29"/>
      <c r="P71" s="29"/>
    </row>
    <row r="72" spans="1:16" ht="15.6">
      <c r="A72" s="10"/>
      <c r="B72" s="10"/>
      <c r="C72" s="10"/>
      <c r="D72" s="618" t="s">
        <v>300</v>
      </c>
      <c r="E72" s="619"/>
      <c r="F72" s="619"/>
      <c r="G72" s="619"/>
      <c r="H72" s="619"/>
      <c r="I72" s="619"/>
      <c r="J72" s="619"/>
      <c r="K72" s="619"/>
      <c r="L72" s="619"/>
      <c r="M72" s="619"/>
      <c r="N72" s="620"/>
      <c r="O72" s="29"/>
      <c r="P72" s="29"/>
    </row>
    <row r="73" spans="1:16" ht="15.6">
      <c r="A73" s="10"/>
      <c r="B73" s="10"/>
      <c r="C73" s="10"/>
      <c r="D73" s="7" t="s">
        <v>25</v>
      </c>
      <c r="E73" s="621" t="s">
        <v>301</v>
      </c>
      <c r="F73" s="622"/>
      <c r="G73" s="622"/>
      <c r="H73" s="622"/>
      <c r="I73" s="622"/>
      <c r="J73" s="622"/>
      <c r="K73" s="622"/>
      <c r="L73" s="622"/>
      <c r="M73" s="623"/>
      <c r="N73" s="30">
        <f>K65+K68</f>
        <v>125664.08</v>
      </c>
      <c r="O73" s="29"/>
      <c r="P73" s="29"/>
    </row>
    <row r="74" spans="1:16" ht="34.5" customHeight="1">
      <c r="A74" s="10"/>
      <c r="B74" s="10"/>
      <c r="C74" s="10"/>
      <c r="D74" s="7" t="s">
        <v>27</v>
      </c>
      <c r="E74" s="624" t="s">
        <v>302</v>
      </c>
      <c r="F74" s="625"/>
      <c r="G74" s="625"/>
      <c r="H74" s="625"/>
      <c r="I74" s="625"/>
      <c r="J74" s="625"/>
      <c r="K74" s="625"/>
      <c r="L74" s="625"/>
      <c r="M74" s="626"/>
      <c r="N74" s="30">
        <f>N65+N68</f>
        <v>1507968.96</v>
      </c>
      <c r="O74" s="29"/>
      <c r="P74" s="29"/>
    </row>
  </sheetData>
  <mergeCells count="224">
    <mergeCell ref="A1:P1"/>
    <mergeCell ref="A2:D2"/>
    <mergeCell ref="E2:G2"/>
    <mergeCell ref="H2:J2"/>
    <mergeCell ref="K2:M2"/>
    <mergeCell ref="N2:P2"/>
    <mergeCell ref="B3:D3"/>
    <mergeCell ref="E3:G3"/>
    <mergeCell ref="H3:J3"/>
    <mergeCell ref="K3:M3"/>
    <mergeCell ref="N3:P3"/>
    <mergeCell ref="B4:D4"/>
    <mergeCell ref="E4:G4"/>
    <mergeCell ref="H4:J4"/>
    <mergeCell ref="K4:M4"/>
    <mergeCell ref="N4:P4"/>
    <mergeCell ref="B5:D5"/>
    <mergeCell ref="E5:G5"/>
    <mergeCell ref="H5:J5"/>
    <mergeCell ref="K5:M5"/>
    <mergeCell ref="N5:P5"/>
    <mergeCell ref="B6:D6"/>
    <mergeCell ref="E6:G6"/>
    <mergeCell ref="H6:J6"/>
    <mergeCell ref="K6:M6"/>
    <mergeCell ref="N6:P6"/>
    <mergeCell ref="B7:D7"/>
    <mergeCell ref="E7:G7"/>
    <mergeCell ref="H7:J7"/>
    <mergeCell ref="K7:M7"/>
    <mergeCell ref="N7:P7"/>
    <mergeCell ref="B8:D8"/>
    <mergeCell ref="E8:G8"/>
    <mergeCell ref="H8:J8"/>
    <mergeCell ref="K8:M8"/>
    <mergeCell ref="N8:P8"/>
    <mergeCell ref="B9:D9"/>
    <mergeCell ref="E9:G9"/>
    <mergeCell ref="H9:J9"/>
    <mergeCell ref="K9:M9"/>
    <mergeCell ref="N9:P9"/>
    <mergeCell ref="B10:D10"/>
    <mergeCell ref="E10:G10"/>
    <mergeCell ref="H10:J10"/>
    <mergeCell ref="K10:M10"/>
    <mergeCell ref="N10:P10"/>
    <mergeCell ref="B11:D11"/>
    <mergeCell ref="E11:G11"/>
    <mergeCell ref="H11:J11"/>
    <mergeCell ref="K11:M11"/>
    <mergeCell ref="N11:P11"/>
    <mergeCell ref="B12:D12"/>
    <mergeCell ref="E12:G12"/>
    <mergeCell ref="H12:J12"/>
    <mergeCell ref="K12:M12"/>
    <mergeCell ref="N12:P12"/>
    <mergeCell ref="B13:D13"/>
    <mergeCell ref="E13:G13"/>
    <mergeCell ref="H13:J13"/>
    <mergeCell ref="K13:M13"/>
    <mergeCell ref="N13:P13"/>
    <mergeCell ref="B14:D14"/>
    <mergeCell ref="E14:G14"/>
    <mergeCell ref="H14:J14"/>
    <mergeCell ref="K14:M14"/>
    <mergeCell ref="N14:P14"/>
    <mergeCell ref="B15:D15"/>
    <mergeCell ref="E15:G15"/>
    <mergeCell ref="H15:J15"/>
    <mergeCell ref="K15:M15"/>
    <mergeCell ref="N15:P15"/>
    <mergeCell ref="A16:G16"/>
    <mergeCell ref="H16:J16"/>
    <mergeCell ref="K16:M16"/>
    <mergeCell ref="N16:P16"/>
    <mergeCell ref="K18:M18"/>
    <mergeCell ref="N18:P18"/>
    <mergeCell ref="K19:M19"/>
    <mergeCell ref="N19:P19"/>
    <mergeCell ref="D22:N22"/>
    <mergeCell ref="D23:N23"/>
    <mergeCell ref="A18:J19"/>
    <mergeCell ref="E24:M24"/>
    <mergeCell ref="E25:M25"/>
    <mergeCell ref="D26:M26"/>
    <mergeCell ref="A28:P28"/>
    <mergeCell ref="A29:D29"/>
    <mergeCell ref="E29:G29"/>
    <mergeCell ref="H29:J29"/>
    <mergeCell ref="K29:M29"/>
    <mergeCell ref="N29:P29"/>
    <mergeCell ref="B30:D30"/>
    <mergeCell ref="E30:G30"/>
    <mergeCell ref="H30:J30"/>
    <mergeCell ref="K30:M30"/>
    <mergeCell ref="N30:P30"/>
    <mergeCell ref="B31:D31"/>
    <mergeCell ref="E31:G31"/>
    <mergeCell ref="H31:J31"/>
    <mergeCell ref="K31:M31"/>
    <mergeCell ref="N31:P31"/>
    <mergeCell ref="B32:D32"/>
    <mergeCell ref="E32:G32"/>
    <mergeCell ref="H32:J32"/>
    <mergeCell ref="K32:M32"/>
    <mergeCell ref="N32:P32"/>
    <mergeCell ref="B33:D33"/>
    <mergeCell ref="E33:G33"/>
    <mergeCell ref="H33:J33"/>
    <mergeCell ref="K33:M33"/>
    <mergeCell ref="N33:P33"/>
    <mergeCell ref="B34:D34"/>
    <mergeCell ref="E34:G34"/>
    <mergeCell ref="H34:J34"/>
    <mergeCell ref="K34:M34"/>
    <mergeCell ref="N34:P34"/>
    <mergeCell ref="B35:D35"/>
    <mergeCell ref="E35:G35"/>
    <mergeCell ref="H35:J35"/>
    <mergeCell ref="K35:M35"/>
    <mergeCell ref="N35:P35"/>
    <mergeCell ref="B36:D36"/>
    <mergeCell ref="E36:G36"/>
    <mergeCell ref="H36:J36"/>
    <mergeCell ref="K36:M36"/>
    <mergeCell ref="N36:P36"/>
    <mergeCell ref="B37:D37"/>
    <mergeCell ref="E37:G37"/>
    <mergeCell ref="H37:J37"/>
    <mergeCell ref="K37:M37"/>
    <mergeCell ref="N37:P37"/>
    <mergeCell ref="B38:D38"/>
    <mergeCell ref="E38:G38"/>
    <mergeCell ref="H38:J38"/>
    <mergeCell ref="K38:M38"/>
    <mergeCell ref="N38:P38"/>
    <mergeCell ref="B39:D39"/>
    <mergeCell ref="E39:G39"/>
    <mergeCell ref="H39:J39"/>
    <mergeCell ref="K39:M39"/>
    <mergeCell ref="N39:P39"/>
    <mergeCell ref="A40:G40"/>
    <mergeCell ref="H40:J40"/>
    <mergeCell ref="K40:M40"/>
    <mergeCell ref="N40:P40"/>
    <mergeCell ref="K42:M42"/>
    <mergeCell ref="N42:P42"/>
    <mergeCell ref="K43:M43"/>
    <mergeCell ref="N43:P43"/>
    <mergeCell ref="D46:N46"/>
    <mergeCell ref="D47:N47"/>
    <mergeCell ref="E48:M48"/>
    <mergeCell ref="E49:M49"/>
    <mergeCell ref="A42:J43"/>
    <mergeCell ref="D50:M50"/>
    <mergeCell ref="A53:P53"/>
    <mergeCell ref="A54:D54"/>
    <mergeCell ref="E54:G54"/>
    <mergeCell ref="H54:J54"/>
    <mergeCell ref="K54:M54"/>
    <mergeCell ref="N54:P54"/>
    <mergeCell ref="B55:D55"/>
    <mergeCell ref="E55:G55"/>
    <mergeCell ref="H55:J55"/>
    <mergeCell ref="K55:M55"/>
    <mergeCell ref="N55:P55"/>
    <mergeCell ref="B56:D56"/>
    <mergeCell ref="E56:G56"/>
    <mergeCell ref="H56:J56"/>
    <mergeCell ref="K56:M56"/>
    <mergeCell ref="N56:P56"/>
    <mergeCell ref="B57:D57"/>
    <mergeCell ref="E57:G57"/>
    <mergeCell ref="H57:J57"/>
    <mergeCell ref="K57:M57"/>
    <mergeCell ref="N57:P57"/>
    <mergeCell ref="B58:D58"/>
    <mergeCell ref="E58:G58"/>
    <mergeCell ref="H58:J58"/>
    <mergeCell ref="K58:M58"/>
    <mergeCell ref="N58:P58"/>
    <mergeCell ref="B59:D59"/>
    <mergeCell ref="E59:G59"/>
    <mergeCell ref="H59:J59"/>
    <mergeCell ref="K59:M59"/>
    <mergeCell ref="N59:P59"/>
    <mergeCell ref="B60:D60"/>
    <mergeCell ref="E60:G60"/>
    <mergeCell ref="H60:J60"/>
    <mergeCell ref="K60:M60"/>
    <mergeCell ref="N60:P60"/>
    <mergeCell ref="B61:D61"/>
    <mergeCell ref="E61:G61"/>
    <mergeCell ref="H61:J61"/>
    <mergeCell ref="K61:M61"/>
    <mergeCell ref="N61:P61"/>
    <mergeCell ref="B62:D62"/>
    <mergeCell ref="E62:G62"/>
    <mergeCell ref="H62:J62"/>
    <mergeCell ref="K62:M62"/>
    <mergeCell ref="N62:P62"/>
    <mergeCell ref="B63:D63"/>
    <mergeCell ref="E63:G63"/>
    <mergeCell ref="H63:J63"/>
    <mergeCell ref="K63:M63"/>
    <mergeCell ref="N63:P63"/>
    <mergeCell ref="B64:D64"/>
    <mergeCell ref="E64:G64"/>
    <mergeCell ref="H64:J64"/>
    <mergeCell ref="K64:M64"/>
    <mergeCell ref="N64:P64"/>
    <mergeCell ref="A65:G65"/>
    <mergeCell ref="H65:J65"/>
    <mergeCell ref="K65:M65"/>
    <mergeCell ref="N65:P65"/>
    <mergeCell ref="K67:M67"/>
    <mergeCell ref="N67:P67"/>
    <mergeCell ref="K68:M68"/>
    <mergeCell ref="N68:P68"/>
    <mergeCell ref="D71:N71"/>
    <mergeCell ref="D72:N72"/>
    <mergeCell ref="E73:M73"/>
    <mergeCell ref="E74:M74"/>
    <mergeCell ref="A67:J68"/>
  </mergeCells>
  <printOptions horizontalCentered="1"/>
  <pageMargins left="0.51181102362204722" right="0.51181102362204722" top="0.78740157480314965" bottom="0.78740157480314965" header="0.31496062992125984" footer="0.31496062992125984"/>
  <pageSetup paperSize="9" scale="35" orientation="landscape" r:id="rId1"/>
  <headerFooter>
    <oddHeader xml:space="preserve">&amp;C&amp;"Arial,Negrito"ANEXO IV&amp;"Arial,Normal"
&amp;"Arial,Negrito"PLANILHAS DE CUSTOS E FORMAÇÃO DE PREÇOS (CONFORME ANEXO VII-D DA IN 05/2017)&amp;"Arial,Normal"
</oddHead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43"/>
  </sheetPr>
  <dimension ref="A1:AA141"/>
  <sheetViews>
    <sheetView showGridLines="0" view="pageBreakPreview" zoomScaleNormal="40" zoomScaleSheetLayoutView="100" workbookViewId="0">
      <selection activeCell="E22" sqref="E22"/>
    </sheetView>
  </sheetViews>
  <sheetFormatPr defaultColWidth="9.109375" defaultRowHeight="13.8"/>
  <cols>
    <col min="1" max="1" width="8.6640625" style="168" customWidth="1"/>
    <col min="2" max="2" width="51.6640625" style="168" bestFit="1" customWidth="1"/>
    <col min="3" max="3" width="31.6640625" style="169" customWidth="1"/>
    <col min="4" max="4" width="26.33203125" style="170" customWidth="1"/>
    <col min="5" max="5" width="19.88671875" style="168" customWidth="1"/>
    <col min="6" max="6" width="15" style="168" customWidth="1"/>
    <col min="7" max="7" width="11.44140625" style="171" customWidth="1"/>
    <col min="8" max="8" width="31.88671875" style="172" customWidth="1"/>
    <col min="9" max="9" width="23.5546875" style="168" bestFit="1" customWidth="1"/>
    <col min="10" max="10" width="17.33203125" style="168" bestFit="1" customWidth="1"/>
    <col min="11" max="11" width="14.44140625" style="168" bestFit="1" customWidth="1"/>
    <col min="12" max="12" width="12.109375" style="168" customWidth="1"/>
    <col min="13" max="13" width="33.109375" style="168" bestFit="1" customWidth="1"/>
    <col min="14" max="14" width="9.6640625" style="168" customWidth="1"/>
    <col min="15" max="15" width="24.44140625" style="168" customWidth="1"/>
    <col min="16" max="16" width="17.6640625" style="168" bestFit="1" customWidth="1"/>
    <col min="17" max="17" width="15.5546875" style="168" customWidth="1"/>
    <col min="18" max="18" width="14.44140625" style="168" bestFit="1" customWidth="1"/>
    <col min="19" max="19" width="15.88671875" style="168" bestFit="1" customWidth="1"/>
    <col min="20" max="20" width="32.5546875" style="168" customWidth="1"/>
    <col min="21" max="21" width="8.6640625" style="173" customWidth="1"/>
    <col min="22" max="22" width="24.88671875" style="168" customWidth="1"/>
    <col min="23" max="23" width="25.44140625" style="168" customWidth="1"/>
    <col min="24" max="24" width="12" style="168" customWidth="1"/>
    <col min="25" max="25" width="14.44140625" style="168" bestFit="1" customWidth="1"/>
    <col min="26" max="26" width="12.109375" style="168" bestFit="1" customWidth="1"/>
    <col min="27" max="27" width="33.109375" style="168" bestFit="1" customWidth="1"/>
    <col min="28" max="16384" width="9.109375" style="168"/>
  </cols>
  <sheetData>
    <row r="1" spans="2:27">
      <c r="B1" s="655" t="s">
        <v>309</v>
      </c>
      <c r="C1" s="656" t="s">
        <v>310</v>
      </c>
      <c r="D1" s="649" t="s">
        <v>311</v>
      </c>
      <c r="E1" s="664"/>
      <c r="F1" s="650"/>
      <c r="H1" s="660" t="s">
        <v>312</v>
      </c>
      <c r="I1" s="660"/>
      <c r="J1" s="660"/>
      <c r="K1" s="660"/>
      <c r="L1" s="660"/>
      <c r="M1" s="660"/>
      <c r="N1" s="238"/>
      <c r="O1" s="660" t="s">
        <v>313</v>
      </c>
      <c r="P1" s="660"/>
      <c r="Q1" s="660"/>
      <c r="R1" s="660"/>
      <c r="S1" s="660"/>
      <c r="T1" s="660"/>
      <c r="V1" s="660" t="s">
        <v>314</v>
      </c>
      <c r="W1" s="660"/>
      <c r="X1" s="660"/>
      <c r="Y1" s="660"/>
      <c r="Z1" s="660"/>
      <c r="AA1" s="660"/>
    </row>
    <row r="2" spans="2:27">
      <c r="B2" s="655"/>
      <c r="C2" s="657"/>
      <c r="D2" s="176" t="s">
        <v>315</v>
      </c>
      <c r="E2" s="658">
        <v>4.2</v>
      </c>
      <c r="F2" s="659"/>
      <c r="H2" s="177" t="s">
        <v>0</v>
      </c>
      <c r="I2" s="175" t="s">
        <v>316</v>
      </c>
      <c r="J2" s="174" t="s">
        <v>317</v>
      </c>
      <c r="K2" s="174" t="s">
        <v>318</v>
      </c>
      <c r="L2" s="174" t="s">
        <v>319</v>
      </c>
      <c r="M2" s="239" t="s">
        <v>320</v>
      </c>
      <c r="N2" s="240"/>
      <c r="O2" s="177" t="s">
        <v>0</v>
      </c>
      <c r="P2" s="175" t="s">
        <v>316</v>
      </c>
      <c r="Q2" s="174" t="s">
        <v>317</v>
      </c>
      <c r="R2" s="174" t="s">
        <v>318</v>
      </c>
      <c r="S2" s="174" t="s">
        <v>319</v>
      </c>
      <c r="T2" s="239" t="s">
        <v>320</v>
      </c>
      <c r="V2" s="177" t="s">
        <v>0</v>
      </c>
      <c r="W2" s="175" t="s">
        <v>316</v>
      </c>
      <c r="X2" s="174" t="s">
        <v>317</v>
      </c>
      <c r="Y2" s="174" t="s">
        <v>318</v>
      </c>
      <c r="Z2" s="174" t="s">
        <v>319</v>
      </c>
      <c r="AA2" s="239" t="s">
        <v>320</v>
      </c>
    </row>
    <row r="3" spans="2:27">
      <c r="B3" s="176" t="s">
        <v>321</v>
      </c>
      <c r="C3" s="178">
        <v>12</v>
      </c>
      <c r="D3" s="176" t="s">
        <v>322</v>
      </c>
      <c r="E3" s="661">
        <v>3</v>
      </c>
      <c r="F3" s="662"/>
      <c r="H3" s="179" t="s">
        <v>4</v>
      </c>
      <c r="I3" s="180">
        <v>2</v>
      </c>
      <c r="J3" s="241">
        <f>G23</f>
        <v>1567.81</v>
      </c>
      <c r="K3" s="242">
        <f>IF(J3&lt;1500,0.3,0.2)</f>
        <v>0.2</v>
      </c>
      <c r="L3" s="243">
        <f>IF(I3*(((0.6)*0.3)*0.5)&lt;1,0,I3*(((0.6)*0.3)*0.5))</f>
        <v>0</v>
      </c>
      <c r="M3" s="244">
        <f>IF(L3&lt;1,0,(J3*(((L3*0.6)*0.3)*0.5)*K3))</f>
        <v>0</v>
      </c>
      <c r="N3" s="237"/>
      <c r="O3" s="179" t="s">
        <v>4</v>
      </c>
      <c r="P3" s="180">
        <v>1</v>
      </c>
      <c r="Q3" s="241">
        <f>G37</f>
        <v>1331.28</v>
      </c>
      <c r="R3" s="242">
        <f>IF(Q3&lt;1500,0.3,0.2)</f>
        <v>0.3</v>
      </c>
      <c r="S3" s="243">
        <f>IF(P3*(((0.6)*0.3)*0.5)&lt;1,0,P3*(((0.6)*0.3)*0.5))</f>
        <v>0</v>
      </c>
      <c r="T3" s="244">
        <f>IF(S3&lt;1,0,(Q3*(((S3*0.6)*0.3)*0.5)*R3))</f>
        <v>0</v>
      </c>
      <c r="V3" s="182" t="s">
        <v>4</v>
      </c>
      <c r="W3" s="180">
        <v>1</v>
      </c>
      <c r="X3" s="241">
        <f>G48</f>
        <v>1583.08</v>
      </c>
      <c r="Y3" s="242">
        <f>IF(X3&lt;1500,0.3,0.2)</f>
        <v>0.2</v>
      </c>
      <c r="Z3" s="243">
        <f>IF(W3*(((0.6)*0.3)*0.5)&lt;1,0,W3*(((0.6)*0.3)*0.5))</f>
        <v>0</v>
      </c>
      <c r="AA3" s="244">
        <f>IF(Z3&lt;1,0,(X3*(((Z3*0.6)*0.3)*0.5)*Y3))</f>
        <v>0</v>
      </c>
    </row>
    <row r="4" spans="2:27">
      <c r="B4" s="180" t="s">
        <v>323</v>
      </c>
      <c r="C4" s="181">
        <v>21</v>
      </c>
      <c r="D4" s="176" t="s">
        <v>324</v>
      </c>
      <c r="E4" s="658">
        <v>3.55</v>
      </c>
      <c r="F4" s="659"/>
      <c r="H4" s="179" t="s">
        <v>5</v>
      </c>
      <c r="I4" s="180">
        <v>5</v>
      </c>
      <c r="J4" s="245">
        <f t="shared" ref="J4:J15" si="0">G24</f>
        <v>1304.8</v>
      </c>
      <c r="K4" s="242">
        <f t="shared" ref="K4:K15" si="1">IF(J4&lt;1500,0.3,0.2)</f>
        <v>0.3</v>
      </c>
      <c r="L4" s="243">
        <f t="shared" ref="L4:L15" si="2">IF(I4*(((0.6)*0.3)*0.5)&lt;1,0,I4*(((0.6)*0.3)*0.5))</f>
        <v>0</v>
      </c>
      <c r="M4" s="244">
        <f t="shared" ref="M4:M15" si="3">IF(L4&lt;1,0,(J4*(((L4*0.6)*0.3)*0.5)*K4))</f>
        <v>0</v>
      </c>
      <c r="N4" s="237"/>
      <c r="O4" s="179" t="s">
        <v>5</v>
      </c>
      <c r="P4" s="180">
        <v>2</v>
      </c>
      <c r="Q4" s="241">
        <f t="shared" ref="Q4:Q12" si="4">G38</f>
        <v>1304.8</v>
      </c>
      <c r="R4" s="242">
        <f t="shared" ref="R4:R12" si="5">IF(Q4&lt;1500,0.3,0.2)</f>
        <v>0.3</v>
      </c>
      <c r="S4" s="243">
        <f t="shared" ref="S4:S12" si="6">IF(P4*(((0.6)*0.3)*0.5)&lt;1,0,P4*(((0.6)*0.3)*0.5))</f>
        <v>0</v>
      </c>
      <c r="T4" s="244">
        <f t="shared" ref="T4:T12" si="7">IF(S4&lt;1,0,(Q4*(((S4*0.6)*0.3)*0.5)*R4))</f>
        <v>0</v>
      </c>
      <c r="V4" s="182" t="s">
        <v>5</v>
      </c>
      <c r="W4" s="180">
        <v>2</v>
      </c>
      <c r="X4" s="241">
        <f t="shared" ref="X4:X12" si="8">G49</f>
        <v>1304.8</v>
      </c>
      <c r="Y4" s="242">
        <f t="shared" ref="Y4:Y12" si="9">IF(X4&lt;1500,0.3,0.2)</f>
        <v>0.3</v>
      </c>
      <c r="Z4" s="243">
        <f t="shared" ref="Z4:Z12" si="10">IF(W4*(((0.6)*0.3)*0.5)&lt;1,0,W4*(((0.6)*0.3)*0.5))</f>
        <v>0</v>
      </c>
      <c r="AA4" s="244">
        <f t="shared" ref="AA4:AA12" si="11">IF(Z4&lt;1,0,(X4*(((Z4*0.6)*0.3)*0.5)*Y4))</f>
        <v>0</v>
      </c>
    </row>
    <row r="5" spans="2:27">
      <c r="B5" s="182" t="s">
        <v>325</v>
      </c>
      <c r="C5" s="183">
        <v>1212</v>
      </c>
      <c r="F5" s="184"/>
      <c r="G5" s="185"/>
      <c r="H5" s="186" t="s">
        <v>326</v>
      </c>
      <c r="I5" s="180">
        <v>36</v>
      </c>
      <c r="J5" s="245">
        <f t="shared" si="0"/>
        <v>1304.8</v>
      </c>
      <c r="K5" s="242">
        <f t="shared" si="1"/>
        <v>0.3</v>
      </c>
      <c r="L5" s="243">
        <f t="shared" si="2"/>
        <v>3</v>
      </c>
      <c r="M5" s="244">
        <f t="shared" si="3"/>
        <v>105.69</v>
      </c>
      <c r="N5" s="246"/>
      <c r="O5" s="186" t="s">
        <v>326</v>
      </c>
      <c r="P5" s="180">
        <v>12</v>
      </c>
      <c r="Q5" s="245">
        <f t="shared" si="4"/>
        <v>1304.8</v>
      </c>
      <c r="R5" s="242">
        <f t="shared" si="5"/>
        <v>0.3</v>
      </c>
      <c r="S5" s="243">
        <f t="shared" si="6"/>
        <v>1</v>
      </c>
      <c r="T5" s="244">
        <f t="shared" si="7"/>
        <v>35.229999999999997</v>
      </c>
      <c r="V5" s="182" t="s">
        <v>326</v>
      </c>
      <c r="W5" s="180">
        <v>9</v>
      </c>
      <c r="X5" s="245">
        <f t="shared" si="8"/>
        <v>1304.8</v>
      </c>
      <c r="Y5" s="242">
        <f t="shared" si="9"/>
        <v>0.3</v>
      </c>
      <c r="Z5" s="243">
        <f t="shared" si="10"/>
        <v>0</v>
      </c>
      <c r="AA5" s="244">
        <f t="shared" si="11"/>
        <v>0</v>
      </c>
    </row>
    <row r="6" spans="2:27">
      <c r="G6" s="187"/>
      <c r="H6" s="186" t="s">
        <v>327</v>
      </c>
      <c r="I6" s="180">
        <v>7</v>
      </c>
      <c r="J6" s="245">
        <f t="shared" si="0"/>
        <v>1435.28</v>
      </c>
      <c r="K6" s="242">
        <f t="shared" si="1"/>
        <v>0.3</v>
      </c>
      <c r="L6" s="243">
        <f t="shared" si="2"/>
        <v>0</v>
      </c>
      <c r="M6" s="244">
        <f t="shared" si="3"/>
        <v>0</v>
      </c>
      <c r="N6" s="247"/>
      <c r="O6" s="186" t="s">
        <v>327</v>
      </c>
      <c r="P6" s="180">
        <v>4</v>
      </c>
      <c r="Q6" s="245">
        <f t="shared" si="4"/>
        <v>1435.28</v>
      </c>
      <c r="R6" s="242">
        <f t="shared" si="5"/>
        <v>0.3</v>
      </c>
      <c r="S6" s="243">
        <f t="shared" si="6"/>
        <v>0</v>
      </c>
      <c r="T6" s="244">
        <f t="shared" si="7"/>
        <v>0</v>
      </c>
      <c r="V6" s="182" t="s">
        <v>327</v>
      </c>
      <c r="W6" s="180">
        <v>2</v>
      </c>
      <c r="X6" s="245">
        <f t="shared" si="8"/>
        <v>1435.28</v>
      </c>
      <c r="Y6" s="242">
        <f t="shared" si="9"/>
        <v>0.3</v>
      </c>
      <c r="Z6" s="243">
        <f t="shared" si="10"/>
        <v>0</v>
      </c>
      <c r="AA6" s="244">
        <f t="shared" si="11"/>
        <v>0</v>
      </c>
    </row>
    <row r="7" spans="2:27">
      <c r="B7" s="648" t="s">
        <v>328</v>
      </c>
      <c r="C7" s="648"/>
      <c r="D7" s="648"/>
      <c r="E7" s="648"/>
      <c r="F7" s="188">
        <v>2022</v>
      </c>
      <c r="H7" s="176" t="s">
        <v>8</v>
      </c>
      <c r="I7" s="180">
        <v>3</v>
      </c>
      <c r="J7" s="245">
        <f t="shared" si="0"/>
        <v>1370.04</v>
      </c>
      <c r="K7" s="242">
        <f t="shared" si="1"/>
        <v>0.3</v>
      </c>
      <c r="L7" s="243">
        <f t="shared" si="2"/>
        <v>0</v>
      </c>
      <c r="M7" s="244">
        <f t="shared" si="3"/>
        <v>0</v>
      </c>
      <c r="N7" s="247"/>
      <c r="O7" s="176" t="s">
        <v>8</v>
      </c>
      <c r="P7" s="180">
        <v>1</v>
      </c>
      <c r="Q7" s="241">
        <f t="shared" si="4"/>
        <v>1370.04</v>
      </c>
      <c r="R7" s="242">
        <f t="shared" si="5"/>
        <v>0.3</v>
      </c>
      <c r="S7" s="243">
        <f t="shared" si="6"/>
        <v>0</v>
      </c>
      <c r="T7" s="244">
        <f t="shared" si="7"/>
        <v>0</v>
      </c>
      <c r="V7" s="182" t="s">
        <v>8</v>
      </c>
      <c r="W7" s="180">
        <v>1</v>
      </c>
      <c r="X7" s="241">
        <f t="shared" si="8"/>
        <v>1370.04</v>
      </c>
      <c r="Y7" s="242">
        <f t="shared" si="9"/>
        <v>0.3</v>
      </c>
      <c r="Z7" s="243">
        <f t="shared" si="10"/>
        <v>0</v>
      </c>
      <c r="AA7" s="244">
        <f t="shared" si="11"/>
        <v>0</v>
      </c>
    </row>
    <row r="8" spans="2:27">
      <c r="B8" s="189" t="s">
        <v>329</v>
      </c>
      <c r="C8" s="190" t="s">
        <v>330</v>
      </c>
      <c r="D8" s="649"/>
      <c r="E8" s="650"/>
      <c r="F8" s="191"/>
      <c r="H8" s="176" t="s">
        <v>15</v>
      </c>
      <c r="I8" s="180">
        <v>4</v>
      </c>
      <c r="J8" s="245">
        <f t="shared" si="0"/>
        <v>1882.4</v>
      </c>
      <c r="K8" s="242">
        <f t="shared" si="1"/>
        <v>0.2</v>
      </c>
      <c r="L8" s="243">
        <f t="shared" si="2"/>
        <v>0</v>
      </c>
      <c r="M8" s="244">
        <f t="shared" si="3"/>
        <v>0</v>
      </c>
      <c r="N8" s="248"/>
      <c r="O8" s="176" t="s">
        <v>15</v>
      </c>
      <c r="P8" s="180">
        <v>4</v>
      </c>
      <c r="Q8" s="241">
        <f t="shared" si="4"/>
        <v>1822.41</v>
      </c>
      <c r="R8" s="242">
        <f t="shared" si="5"/>
        <v>0.2</v>
      </c>
      <c r="S8" s="243">
        <f t="shared" si="6"/>
        <v>0</v>
      </c>
      <c r="T8" s="244">
        <f t="shared" si="7"/>
        <v>0</v>
      </c>
      <c r="V8" s="182" t="s">
        <v>15</v>
      </c>
      <c r="W8" s="180">
        <v>2</v>
      </c>
      <c r="X8" s="241">
        <f t="shared" si="8"/>
        <v>1882.4</v>
      </c>
      <c r="Y8" s="242">
        <f t="shared" si="9"/>
        <v>0.2</v>
      </c>
      <c r="Z8" s="243">
        <f t="shared" si="10"/>
        <v>0</v>
      </c>
      <c r="AA8" s="244">
        <f t="shared" si="11"/>
        <v>0</v>
      </c>
    </row>
    <row r="9" spans="2:27">
      <c r="B9" s="182" t="s">
        <v>331</v>
      </c>
      <c r="C9" s="192">
        <v>158.11000000000001</v>
      </c>
      <c r="D9" s="651" t="s">
        <v>332</v>
      </c>
      <c r="E9" s="663"/>
      <c r="F9" s="191">
        <v>25.3</v>
      </c>
      <c r="H9" s="176" t="s">
        <v>333</v>
      </c>
      <c r="I9" s="180">
        <v>5</v>
      </c>
      <c r="J9" s="245">
        <f t="shared" si="0"/>
        <v>1261.9000000000001</v>
      </c>
      <c r="K9" s="242">
        <f t="shared" si="1"/>
        <v>0.3</v>
      </c>
      <c r="L9" s="243">
        <f t="shared" si="2"/>
        <v>0</v>
      </c>
      <c r="M9" s="244">
        <f t="shared" si="3"/>
        <v>0</v>
      </c>
      <c r="N9" s="246"/>
      <c r="O9" s="176" t="s">
        <v>333</v>
      </c>
      <c r="P9" s="180">
        <v>2</v>
      </c>
      <c r="Q9" s="241">
        <f t="shared" si="4"/>
        <v>1261.8699999999999</v>
      </c>
      <c r="R9" s="242">
        <f t="shared" si="5"/>
        <v>0.3</v>
      </c>
      <c r="S9" s="243">
        <f t="shared" si="6"/>
        <v>0</v>
      </c>
      <c r="T9" s="244">
        <f t="shared" si="7"/>
        <v>0</v>
      </c>
      <c r="V9" s="182" t="s">
        <v>333</v>
      </c>
      <c r="W9" s="180">
        <v>2</v>
      </c>
      <c r="X9" s="241">
        <f t="shared" si="8"/>
        <v>1261.9000000000001</v>
      </c>
      <c r="Y9" s="242">
        <f t="shared" si="9"/>
        <v>0.3</v>
      </c>
      <c r="Z9" s="243">
        <f t="shared" si="10"/>
        <v>0</v>
      </c>
      <c r="AA9" s="244">
        <f t="shared" si="11"/>
        <v>0</v>
      </c>
    </row>
    <row r="10" spans="2:27">
      <c r="B10" s="182" t="s">
        <v>334</v>
      </c>
      <c r="C10" s="192">
        <v>6.43</v>
      </c>
      <c r="D10" s="649" t="s">
        <v>335</v>
      </c>
      <c r="E10" s="650"/>
      <c r="F10" s="193">
        <v>235.52</v>
      </c>
      <c r="H10" s="186" t="s">
        <v>336</v>
      </c>
      <c r="I10" s="180">
        <v>4</v>
      </c>
      <c r="J10" s="245">
        <f t="shared" si="0"/>
        <v>1261.9000000000001</v>
      </c>
      <c r="K10" s="242">
        <f t="shared" si="1"/>
        <v>0.3</v>
      </c>
      <c r="L10" s="243">
        <f t="shared" si="2"/>
        <v>0</v>
      </c>
      <c r="M10" s="244">
        <f t="shared" si="3"/>
        <v>0</v>
      </c>
      <c r="N10" s="246"/>
      <c r="O10" s="186" t="s">
        <v>336</v>
      </c>
      <c r="P10" s="180">
        <v>3</v>
      </c>
      <c r="Q10" s="245">
        <f t="shared" si="4"/>
        <v>1261.8699999999999</v>
      </c>
      <c r="R10" s="242">
        <f t="shared" si="5"/>
        <v>0.3</v>
      </c>
      <c r="S10" s="243">
        <f t="shared" si="6"/>
        <v>0</v>
      </c>
      <c r="T10" s="244">
        <f t="shared" si="7"/>
        <v>0</v>
      </c>
      <c r="V10" s="182" t="s">
        <v>336</v>
      </c>
      <c r="W10" s="180">
        <v>1</v>
      </c>
      <c r="X10" s="245">
        <f t="shared" si="8"/>
        <v>1261.9000000000001</v>
      </c>
      <c r="Y10" s="242">
        <f t="shared" si="9"/>
        <v>0.3</v>
      </c>
      <c r="Z10" s="243">
        <f t="shared" si="10"/>
        <v>0</v>
      </c>
      <c r="AA10" s="244">
        <f t="shared" si="11"/>
        <v>0</v>
      </c>
    </row>
    <row r="11" spans="2:27">
      <c r="B11" s="182" t="s">
        <v>337</v>
      </c>
      <c r="C11" s="194">
        <v>1261.9000000000001</v>
      </c>
      <c r="D11" s="649" t="s">
        <v>338</v>
      </c>
      <c r="E11" s="650"/>
      <c r="F11" s="193">
        <v>230.26</v>
      </c>
      <c r="H11" s="195" t="s">
        <v>16</v>
      </c>
      <c r="I11" s="180">
        <v>2</v>
      </c>
      <c r="J11" s="245">
        <f t="shared" si="0"/>
        <v>2961</v>
      </c>
      <c r="K11" s="242">
        <f t="shared" si="1"/>
        <v>0.2</v>
      </c>
      <c r="L11" s="243">
        <f t="shared" si="2"/>
        <v>0</v>
      </c>
      <c r="M11" s="244">
        <f t="shared" si="3"/>
        <v>0</v>
      </c>
      <c r="N11" s="246"/>
      <c r="O11" s="195" t="s">
        <v>16</v>
      </c>
      <c r="P11" s="180">
        <v>2</v>
      </c>
      <c r="Q11" s="245">
        <f t="shared" si="4"/>
        <v>2961</v>
      </c>
      <c r="R11" s="242">
        <f t="shared" si="5"/>
        <v>0.2</v>
      </c>
      <c r="S11" s="243">
        <f t="shared" si="6"/>
        <v>0</v>
      </c>
      <c r="T11" s="244">
        <f t="shared" si="7"/>
        <v>0</v>
      </c>
      <c r="V11" s="265" t="s">
        <v>16</v>
      </c>
      <c r="W11" s="180">
        <v>2</v>
      </c>
      <c r="X11" s="245">
        <f t="shared" si="8"/>
        <v>2961</v>
      </c>
      <c r="Y11" s="242">
        <f t="shared" si="9"/>
        <v>0.2</v>
      </c>
      <c r="Z11" s="243">
        <f t="shared" si="10"/>
        <v>0</v>
      </c>
      <c r="AA11" s="244">
        <f t="shared" si="11"/>
        <v>0</v>
      </c>
    </row>
    <row r="12" spans="2:27">
      <c r="H12" s="186" t="s">
        <v>339</v>
      </c>
      <c r="I12" s="180">
        <v>1</v>
      </c>
      <c r="J12" s="249">
        <f t="shared" si="0"/>
        <v>2539.54</v>
      </c>
      <c r="K12" s="242">
        <f t="shared" si="1"/>
        <v>0.2</v>
      </c>
      <c r="L12" s="243">
        <f t="shared" si="2"/>
        <v>0</v>
      </c>
      <c r="M12" s="244">
        <f t="shared" si="3"/>
        <v>0</v>
      </c>
      <c r="N12" s="246"/>
      <c r="O12" s="186" t="s">
        <v>17</v>
      </c>
      <c r="P12" s="180">
        <v>1</v>
      </c>
      <c r="Q12" s="249">
        <f t="shared" si="4"/>
        <v>1411.41</v>
      </c>
      <c r="R12" s="242">
        <f t="shared" si="5"/>
        <v>0.3</v>
      </c>
      <c r="S12" s="243">
        <f t="shared" si="6"/>
        <v>0</v>
      </c>
      <c r="T12" s="244">
        <f t="shared" si="7"/>
        <v>0</v>
      </c>
      <c r="V12" s="266" t="s">
        <v>17</v>
      </c>
      <c r="W12" s="180">
        <v>1</v>
      </c>
      <c r="X12" s="249">
        <f t="shared" si="8"/>
        <v>1425.57</v>
      </c>
      <c r="Y12" s="242">
        <f t="shared" si="9"/>
        <v>0.3</v>
      </c>
      <c r="Z12" s="243">
        <f t="shared" si="10"/>
        <v>0</v>
      </c>
      <c r="AA12" s="244">
        <f t="shared" si="11"/>
        <v>0</v>
      </c>
    </row>
    <row r="13" spans="2:27">
      <c r="B13" s="648" t="s">
        <v>340</v>
      </c>
      <c r="C13" s="648"/>
      <c r="D13" s="648"/>
      <c r="E13" s="648"/>
      <c r="F13" s="188">
        <v>2022</v>
      </c>
      <c r="H13" s="186" t="s">
        <v>13</v>
      </c>
      <c r="I13" s="180">
        <v>1</v>
      </c>
      <c r="J13" s="249">
        <f t="shared" si="0"/>
        <v>3288.42</v>
      </c>
      <c r="K13" s="242">
        <f t="shared" si="1"/>
        <v>0.2</v>
      </c>
      <c r="L13" s="243">
        <f t="shared" si="2"/>
        <v>0</v>
      </c>
      <c r="M13" s="244">
        <f t="shared" si="3"/>
        <v>0</v>
      </c>
      <c r="N13" s="246"/>
      <c r="O13" s="185"/>
      <c r="P13" s="250"/>
      <c r="Q13" s="254"/>
      <c r="R13" s="252"/>
      <c r="S13" s="267"/>
      <c r="T13" s="268"/>
      <c r="V13" s="185"/>
      <c r="W13" s="250"/>
      <c r="X13" s="254"/>
      <c r="Y13" s="252"/>
      <c r="Z13" s="267"/>
      <c r="AA13" s="268"/>
    </row>
    <row r="14" spans="2:27">
      <c r="B14" s="189" t="s">
        <v>329</v>
      </c>
      <c r="C14" s="196" t="s">
        <v>330</v>
      </c>
      <c r="D14" s="649"/>
      <c r="E14" s="650"/>
      <c r="F14" s="191"/>
      <c r="H14" s="186" t="s">
        <v>11</v>
      </c>
      <c r="I14" s="180">
        <v>1</v>
      </c>
      <c r="J14" s="245">
        <f t="shared" si="0"/>
        <v>1501.43</v>
      </c>
      <c r="K14" s="242">
        <f t="shared" si="1"/>
        <v>0.2</v>
      </c>
      <c r="L14" s="243">
        <f t="shared" si="2"/>
        <v>0</v>
      </c>
      <c r="M14" s="244">
        <f t="shared" si="3"/>
        <v>0</v>
      </c>
      <c r="N14" s="246"/>
      <c r="O14" s="185"/>
      <c r="P14" s="250"/>
      <c r="Q14" s="261"/>
      <c r="R14" s="252"/>
      <c r="S14" s="267"/>
      <c r="T14" s="268"/>
    </row>
    <row r="15" spans="2:27">
      <c r="B15" s="182" t="s">
        <v>331</v>
      </c>
      <c r="C15" s="197">
        <v>158.11000000000001</v>
      </c>
      <c r="D15" s="651" t="s">
        <v>341</v>
      </c>
      <c r="E15" s="652"/>
      <c r="F15" s="193">
        <v>25.3</v>
      </c>
      <c r="H15" s="186" t="s">
        <v>342</v>
      </c>
      <c r="I15" s="180">
        <v>2</v>
      </c>
      <c r="J15" s="245">
        <f t="shared" si="0"/>
        <v>1494.03</v>
      </c>
      <c r="K15" s="242">
        <f t="shared" si="1"/>
        <v>0.3</v>
      </c>
      <c r="L15" s="243">
        <f t="shared" si="2"/>
        <v>0</v>
      </c>
      <c r="M15" s="244">
        <f t="shared" si="3"/>
        <v>0</v>
      </c>
      <c r="N15" s="246"/>
      <c r="O15" s="185"/>
      <c r="P15" s="250"/>
      <c r="Q15" s="261"/>
      <c r="R15" s="252"/>
      <c r="S15" s="267"/>
      <c r="T15" s="268"/>
    </row>
    <row r="16" spans="2:27">
      <c r="B16" s="182" t="s">
        <v>334</v>
      </c>
      <c r="C16" s="192">
        <v>6.43</v>
      </c>
      <c r="D16" s="649" t="s">
        <v>343</v>
      </c>
      <c r="E16" s="650"/>
      <c r="F16" s="193">
        <v>233.37</v>
      </c>
      <c r="G16" s="187"/>
      <c r="I16" s="237"/>
      <c r="J16" s="251"/>
      <c r="K16" s="252"/>
      <c r="L16" s="253"/>
      <c r="M16" s="254"/>
      <c r="N16" s="184"/>
    </row>
    <row r="17" spans="1:21">
      <c r="B17" s="198"/>
      <c r="C17" s="199"/>
      <c r="G17" s="187"/>
      <c r="H17" s="200" t="s">
        <v>344</v>
      </c>
      <c r="I17" s="251"/>
      <c r="J17" s="224"/>
      <c r="K17" s="252"/>
      <c r="L17" s="255"/>
      <c r="M17" s="253"/>
      <c r="N17" s="184"/>
    </row>
    <row r="18" spans="1:21">
      <c r="B18" s="184"/>
      <c r="C18" s="201"/>
      <c r="G18" s="187"/>
      <c r="H18" s="202" t="s">
        <v>345</v>
      </c>
      <c r="I18" s="251"/>
      <c r="J18" s="224"/>
      <c r="K18" s="225"/>
      <c r="L18" s="256"/>
      <c r="M18" s="254"/>
      <c r="N18" s="184"/>
    </row>
    <row r="19" spans="1:21">
      <c r="B19" s="184"/>
      <c r="C19" s="201"/>
      <c r="D19" s="173"/>
      <c r="E19" s="184"/>
      <c r="F19" s="184"/>
      <c r="G19" s="203"/>
      <c r="H19" s="204" t="s">
        <v>346</v>
      </c>
      <c r="I19" s="203"/>
      <c r="J19" s="203"/>
      <c r="K19" s="203"/>
      <c r="L19" s="184"/>
      <c r="M19" s="184"/>
      <c r="N19" s="184"/>
      <c r="O19" s="257"/>
      <c r="P19" s="257"/>
      <c r="Q19" s="257"/>
      <c r="R19" s="184"/>
      <c r="S19" s="184"/>
      <c r="T19" s="216"/>
      <c r="U19" s="269"/>
    </row>
    <row r="20" spans="1:21">
      <c r="B20" s="184"/>
      <c r="C20" s="201"/>
      <c r="D20" s="173"/>
      <c r="E20" s="184"/>
      <c r="F20" s="184"/>
      <c r="G20" s="203"/>
      <c r="H20" s="204"/>
      <c r="I20" s="203"/>
      <c r="J20" s="203"/>
      <c r="K20" s="203"/>
      <c r="L20" s="184"/>
      <c r="M20" s="184"/>
      <c r="N20" s="184"/>
      <c r="O20" s="257"/>
      <c r="P20" s="257"/>
      <c r="Q20" s="257"/>
      <c r="R20" s="184"/>
      <c r="S20" s="184"/>
      <c r="T20" s="216"/>
      <c r="U20" s="269"/>
    </row>
    <row r="21" spans="1:21">
      <c r="A21" s="168" t="s">
        <v>347</v>
      </c>
      <c r="B21" s="184"/>
      <c r="C21" s="201"/>
      <c r="D21" s="173"/>
      <c r="E21" s="184"/>
      <c r="F21" s="184"/>
      <c r="G21" s="203"/>
      <c r="H21" s="204"/>
      <c r="I21" s="203"/>
      <c r="J21" s="203"/>
      <c r="K21" s="203"/>
      <c r="L21" s="184"/>
      <c r="M21" s="184"/>
      <c r="N21" s="184"/>
      <c r="O21" s="257"/>
      <c r="P21" s="257"/>
      <c r="Q21" s="257"/>
      <c r="R21" s="184"/>
      <c r="S21" s="184"/>
      <c r="T21" s="216"/>
      <c r="U21" s="269"/>
    </row>
    <row r="22" spans="1:21" s="163" customFormat="1" ht="41.4">
      <c r="A22" s="205" t="s">
        <v>348</v>
      </c>
      <c r="B22" s="205" t="s">
        <v>349</v>
      </c>
      <c r="C22" s="206" t="s">
        <v>350</v>
      </c>
      <c r="D22" s="205" t="s">
        <v>351</v>
      </c>
      <c r="E22" s="205" t="s">
        <v>352</v>
      </c>
      <c r="F22" s="205" t="s">
        <v>353</v>
      </c>
      <c r="G22" s="207" t="s">
        <v>317</v>
      </c>
      <c r="H22" s="208" t="s">
        <v>354</v>
      </c>
      <c r="I22" s="205" t="s">
        <v>355</v>
      </c>
      <c r="J22" s="205" t="s">
        <v>356</v>
      </c>
      <c r="K22" s="205" t="s">
        <v>357</v>
      </c>
      <c r="L22" s="205" t="s">
        <v>358</v>
      </c>
      <c r="M22" s="205" t="s">
        <v>359</v>
      </c>
      <c r="N22" s="205" t="s">
        <v>360</v>
      </c>
      <c r="O22" s="205" t="s">
        <v>361</v>
      </c>
      <c r="P22" s="258" t="s">
        <v>362</v>
      </c>
      <c r="Q22" s="205" t="s">
        <v>363</v>
      </c>
      <c r="R22" s="205" t="s">
        <v>364</v>
      </c>
      <c r="S22" s="205" t="s">
        <v>365</v>
      </c>
    </row>
    <row r="23" spans="1:21" s="164" customFormat="1">
      <c r="A23" s="209" t="s">
        <v>366</v>
      </c>
      <c r="B23" s="210" t="s">
        <v>367</v>
      </c>
      <c r="C23" s="211" t="s">
        <v>4</v>
      </c>
      <c r="D23" s="209" t="s">
        <v>368</v>
      </c>
      <c r="E23" s="212" t="s">
        <v>369</v>
      </c>
      <c r="F23" s="209">
        <v>2</v>
      </c>
      <c r="G23" s="213">
        <v>1567.81</v>
      </c>
      <c r="H23" s="214" t="str">
        <f>C8</f>
        <v>1º de Janeiro</v>
      </c>
      <c r="I23" s="213" t="s">
        <v>12</v>
      </c>
      <c r="J23" s="213" t="s">
        <v>12</v>
      </c>
      <c r="K23" s="259">
        <f t="shared" ref="K23:K35" si="12">IF(($E$2*$C$4*2)-(G23*3%)&gt;=0,($E$2*$C$4*2)-(G23*3%),"")</f>
        <v>129.37</v>
      </c>
      <c r="L23" s="213">
        <f t="shared" ref="L23:L35" si="13">$C$9</f>
        <v>158.11000000000001</v>
      </c>
      <c r="M23" s="213">
        <f>M3</f>
        <v>0</v>
      </c>
      <c r="N23" s="213">
        <f t="shared" ref="N23:N35" si="14">$F$10</f>
        <v>235.52</v>
      </c>
      <c r="O23" s="259">
        <f>64.96+36.31</f>
        <v>101.27</v>
      </c>
      <c r="P23" s="260" t="s">
        <v>12</v>
      </c>
      <c r="Q23" s="259">
        <f t="shared" ref="Q23:Q35" si="15">$F$9</f>
        <v>25.3</v>
      </c>
      <c r="R23" s="259">
        <f t="shared" ref="R23:R35" si="16">$C$10</f>
        <v>6.43</v>
      </c>
      <c r="S23" s="270">
        <f t="shared" ref="S23:S35" si="17">(9.5*$C$4)-(G23*2%)</f>
        <v>168.14</v>
      </c>
      <c r="U23" s="225"/>
    </row>
    <row r="24" spans="1:21" s="164" customFormat="1">
      <c r="A24" s="209" t="s">
        <v>370</v>
      </c>
      <c r="B24" s="210" t="s">
        <v>367</v>
      </c>
      <c r="C24" s="211" t="s">
        <v>5</v>
      </c>
      <c r="D24" s="212" t="str">
        <f t="shared" ref="D24:D35" si="18">$D$23</f>
        <v>SINTRAHOTEIS 2022</v>
      </c>
      <c r="E24" s="212" t="s">
        <v>369</v>
      </c>
      <c r="F24" s="209">
        <v>5</v>
      </c>
      <c r="G24" s="213">
        <v>1304.8</v>
      </c>
      <c r="H24" s="214" t="str">
        <f t="shared" ref="H24:H35" si="19">$H$23</f>
        <v>1º de Janeiro</v>
      </c>
      <c r="I24" s="213" t="s">
        <v>12</v>
      </c>
      <c r="J24" s="213" t="s">
        <v>12</v>
      </c>
      <c r="K24" s="259">
        <f t="shared" si="12"/>
        <v>137.26</v>
      </c>
      <c r="L24" s="213">
        <f t="shared" si="13"/>
        <v>158.11000000000001</v>
      </c>
      <c r="M24" s="213">
        <f t="shared" ref="M24:M35" si="20">M4</f>
        <v>0</v>
      </c>
      <c r="N24" s="213">
        <f t="shared" si="14"/>
        <v>235.52</v>
      </c>
      <c r="O24" s="259">
        <f>53.41+49.29</f>
        <v>102.7</v>
      </c>
      <c r="P24" s="260" t="s">
        <v>12</v>
      </c>
      <c r="Q24" s="259">
        <f t="shared" si="15"/>
        <v>25.3</v>
      </c>
      <c r="R24" s="259">
        <f t="shared" si="16"/>
        <v>6.43</v>
      </c>
      <c r="S24" s="270">
        <f t="shared" si="17"/>
        <v>173.4</v>
      </c>
      <c r="U24" s="271" t="s">
        <v>371</v>
      </c>
    </row>
    <row r="25" spans="1:21" s="164" customFormat="1">
      <c r="A25" s="209" t="s">
        <v>372</v>
      </c>
      <c r="B25" s="210" t="s">
        <v>367</v>
      </c>
      <c r="C25" s="211" t="s">
        <v>326</v>
      </c>
      <c r="D25" s="212" t="str">
        <f t="shared" si="18"/>
        <v>SINTRAHOTEIS 2022</v>
      </c>
      <c r="E25" s="212" t="s">
        <v>369</v>
      </c>
      <c r="F25" s="209">
        <v>36</v>
      </c>
      <c r="G25" s="213">
        <v>1304.8</v>
      </c>
      <c r="H25" s="214" t="str">
        <f t="shared" si="19"/>
        <v>1º de Janeiro</v>
      </c>
      <c r="I25" s="213" t="s">
        <v>12</v>
      </c>
      <c r="J25" s="213">
        <f>$C$5*20%</f>
        <v>242.4</v>
      </c>
      <c r="K25" s="259">
        <f t="shared" si="12"/>
        <v>137.26</v>
      </c>
      <c r="L25" s="213">
        <f t="shared" si="13"/>
        <v>158.11000000000001</v>
      </c>
      <c r="M25" s="213">
        <f t="shared" si="20"/>
        <v>105.69</v>
      </c>
      <c r="N25" s="213">
        <f t="shared" si="14"/>
        <v>235.52</v>
      </c>
      <c r="O25" s="259">
        <f>226.13+27.99</f>
        <v>254.12</v>
      </c>
      <c r="P25" s="260" t="s">
        <v>12</v>
      </c>
      <c r="Q25" s="259">
        <f t="shared" si="15"/>
        <v>25.3</v>
      </c>
      <c r="R25" s="259">
        <f t="shared" si="16"/>
        <v>6.43</v>
      </c>
      <c r="S25" s="270">
        <f t="shared" si="17"/>
        <v>173.4</v>
      </c>
      <c r="U25" s="271" t="s">
        <v>373</v>
      </c>
    </row>
    <row r="26" spans="1:21" s="164" customFormat="1">
      <c r="A26" s="209" t="s">
        <v>374</v>
      </c>
      <c r="B26" s="210" t="s">
        <v>367</v>
      </c>
      <c r="C26" s="211" t="s">
        <v>327</v>
      </c>
      <c r="D26" s="212" t="str">
        <f t="shared" si="18"/>
        <v>SINTRAHOTEIS 2022</v>
      </c>
      <c r="E26" s="212" t="s">
        <v>369</v>
      </c>
      <c r="F26" s="209">
        <v>7</v>
      </c>
      <c r="G26" s="213">
        <v>1435.28</v>
      </c>
      <c r="H26" s="214" t="str">
        <f t="shared" si="19"/>
        <v>1º de Janeiro</v>
      </c>
      <c r="I26" s="213" t="s">
        <v>12</v>
      </c>
      <c r="J26" s="213">
        <f>$C$5*20%</f>
        <v>242.4</v>
      </c>
      <c r="K26" s="259">
        <f t="shared" si="12"/>
        <v>133.34</v>
      </c>
      <c r="L26" s="213">
        <f t="shared" si="13"/>
        <v>158.11000000000001</v>
      </c>
      <c r="M26" s="213">
        <f t="shared" si="20"/>
        <v>0</v>
      </c>
      <c r="N26" s="213">
        <f t="shared" si="14"/>
        <v>235.52</v>
      </c>
      <c r="O26" s="259">
        <f>278.26+27.83</f>
        <v>306.08999999999997</v>
      </c>
      <c r="P26" s="260" t="s">
        <v>12</v>
      </c>
      <c r="Q26" s="259">
        <f t="shared" si="15"/>
        <v>25.3</v>
      </c>
      <c r="R26" s="259">
        <f t="shared" si="16"/>
        <v>6.43</v>
      </c>
      <c r="S26" s="270">
        <f t="shared" si="17"/>
        <v>170.79</v>
      </c>
      <c r="U26" s="225"/>
    </row>
    <row r="27" spans="1:21" s="164" customFormat="1">
      <c r="A27" s="209" t="s">
        <v>375</v>
      </c>
      <c r="B27" s="210" t="s">
        <v>367</v>
      </c>
      <c r="C27" s="211" t="s">
        <v>8</v>
      </c>
      <c r="D27" s="212" t="str">
        <f t="shared" si="18"/>
        <v>SINTRAHOTEIS 2022</v>
      </c>
      <c r="E27" s="212" t="s">
        <v>369</v>
      </c>
      <c r="F27" s="209">
        <v>3</v>
      </c>
      <c r="G27" s="213">
        <v>1370.04</v>
      </c>
      <c r="H27" s="214" t="str">
        <f t="shared" si="19"/>
        <v>1º de Janeiro</v>
      </c>
      <c r="I27" s="213" t="s">
        <v>12</v>
      </c>
      <c r="J27" s="213">
        <f>$C$5*20%</f>
        <v>242.4</v>
      </c>
      <c r="K27" s="259">
        <f t="shared" si="12"/>
        <v>135.30000000000001</v>
      </c>
      <c r="L27" s="213">
        <f t="shared" si="13"/>
        <v>158.11000000000001</v>
      </c>
      <c r="M27" s="213">
        <f t="shared" si="20"/>
        <v>0</v>
      </c>
      <c r="N27" s="213">
        <f t="shared" si="14"/>
        <v>235.52</v>
      </c>
      <c r="O27" s="259">
        <f>109.41+27.83</f>
        <v>137.24</v>
      </c>
      <c r="P27" s="260" t="s">
        <v>12</v>
      </c>
      <c r="Q27" s="259">
        <f t="shared" si="15"/>
        <v>25.3</v>
      </c>
      <c r="R27" s="259">
        <f t="shared" si="16"/>
        <v>6.43</v>
      </c>
      <c r="S27" s="270">
        <f t="shared" si="17"/>
        <v>172.1</v>
      </c>
      <c r="U27" s="225"/>
    </row>
    <row r="28" spans="1:21" s="164" customFormat="1">
      <c r="A28" s="209" t="s">
        <v>376</v>
      </c>
      <c r="B28" s="210" t="s">
        <v>367</v>
      </c>
      <c r="C28" s="211" t="s">
        <v>15</v>
      </c>
      <c r="D28" s="212" t="str">
        <f t="shared" si="18"/>
        <v>SINTRAHOTEIS 2022</v>
      </c>
      <c r="E28" s="212" t="s">
        <v>369</v>
      </c>
      <c r="F28" s="209">
        <v>4</v>
      </c>
      <c r="G28" s="213">
        <v>1882.4</v>
      </c>
      <c r="H28" s="214" t="str">
        <f t="shared" si="19"/>
        <v>1º de Janeiro</v>
      </c>
      <c r="I28" s="213" t="s">
        <v>12</v>
      </c>
      <c r="J28" s="213">
        <f>$C$5*20%</f>
        <v>242.4</v>
      </c>
      <c r="K28" s="259">
        <f t="shared" si="12"/>
        <v>119.93</v>
      </c>
      <c r="L28" s="213">
        <f t="shared" si="13"/>
        <v>158.11000000000001</v>
      </c>
      <c r="M28" s="213">
        <f t="shared" si="20"/>
        <v>0</v>
      </c>
      <c r="N28" s="213">
        <f t="shared" si="14"/>
        <v>235.52</v>
      </c>
      <c r="O28" s="259">
        <f>222.38+27.83</f>
        <v>250.21</v>
      </c>
      <c r="P28" s="260" t="s">
        <v>12</v>
      </c>
      <c r="Q28" s="259">
        <f t="shared" si="15"/>
        <v>25.3</v>
      </c>
      <c r="R28" s="259">
        <f t="shared" si="16"/>
        <v>6.43</v>
      </c>
      <c r="S28" s="270">
        <f t="shared" si="17"/>
        <v>161.85</v>
      </c>
      <c r="U28" s="225"/>
    </row>
    <row r="29" spans="1:21" s="164" customFormat="1">
      <c r="A29" s="209" t="s">
        <v>377</v>
      </c>
      <c r="B29" s="210" t="s">
        <v>367</v>
      </c>
      <c r="C29" s="211" t="s">
        <v>333</v>
      </c>
      <c r="D29" s="212" t="str">
        <f t="shared" si="18"/>
        <v>SINTRAHOTEIS 2022</v>
      </c>
      <c r="E29" s="212" t="s">
        <v>369</v>
      </c>
      <c r="F29" s="209">
        <v>5</v>
      </c>
      <c r="G29" s="213">
        <v>1261.9000000000001</v>
      </c>
      <c r="H29" s="214" t="str">
        <f t="shared" si="19"/>
        <v>1º de Janeiro</v>
      </c>
      <c r="I29" s="213" t="s">
        <v>12</v>
      </c>
      <c r="J29" s="213" t="s">
        <v>12</v>
      </c>
      <c r="K29" s="259">
        <f t="shared" si="12"/>
        <v>138.54</v>
      </c>
      <c r="L29" s="213">
        <f t="shared" si="13"/>
        <v>158.11000000000001</v>
      </c>
      <c r="M29" s="213">
        <f t="shared" si="20"/>
        <v>0</v>
      </c>
      <c r="N29" s="213">
        <f t="shared" si="14"/>
        <v>235.52</v>
      </c>
      <c r="O29" s="259">
        <f>102.58+43.37</f>
        <v>145.94999999999999</v>
      </c>
      <c r="P29" s="260">
        <f>'Depreciação mensal - Vitória'!F7</f>
        <v>1.02</v>
      </c>
      <c r="Q29" s="259">
        <f t="shared" si="15"/>
        <v>25.3</v>
      </c>
      <c r="R29" s="259">
        <f t="shared" si="16"/>
        <v>6.43</v>
      </c>
      <c r="S29" s="270">
        <f t="shared" si="17"/>
        <v>174.26</v>
      </c>
      <c r="U29" s="271" t="s">
        <v>378</v>
      </c>
    </row>
    <row r="30" spans="1:21" s="164" customFormat="1">
      <c r="A30" s="209" t="s">
        <v>379</v>
      </c>
      <c r="B30" s="210" t="s">
        <v>367</v>
      </c>
      <c r="C30" s="211" t="s">
        <v>336</v>
      </c>
      <c r="D30" s="212" t="str">
        <f t="shared" si="18"/>
        <v>SINTRAHOTEIS 2022</v>
      </c>
      <c r="E30" s="212" t="s">
        <v>369</v>
      </c>
      <c r="F30" s="209">
        <v>4</v>
      </c>
      <c r="G30" s="213">
        <v>1261.9000000000001</v>
      </c>
      <c r="H30" s="214" t="str">
        <f t="shared" si="19"/>
        <v>1º de Janeiro</v>
      </c>
      <c r="I30" s="213" t="s">
        <v>12</v>
      </c>
      <c r="J30" s="213">
        <f>$C$5*40%</f>
        <v>484.8</v>
      </c>
      <c r="K30" s="259">
        <f t="shared" si="12"/>
        <v>138.54</v>
      </c>
      <c r="L30" s="213">
        <f t="shared" si="13"/>
        <v>158.11000000000001</v>
      </c>
      <c r="M30" s="213">
        <f t="shared" si="20"/>
        <v>0</v>
      </c>
      <c r="N30" s="213">
        <f t="shared" si="14"/>
        <v>235.52</v>
      </c>
      <c r="O30" s="259">
        <f>109.24+43.37</f>
        <v>152.61000000000001</v>
      </c>
      <c r="P30" s="260">
        <f>'Depreciação mensal - Vitória'!F7</f>
        <v>1.02</v>
      </c>
      <c r="Q30" s="259">
        <f t="shared" si="15"/>
        <v>25.3</v>
      </c>
      <c r="R30" s="259">
        <f t="shared" si="16"/>
        <v>6.43</v>
      </c>
      <c r="S30" s="270">
        <f t="shared" si="17"/>
        <v>174.26</v>
      </c>
      <c r="U30" s="225"/>
    </row>
    <row r="31" spans="1:21" s="164" customFormat="1">
      <c r="A31" s="209" t="s">
        <v>380</v>
      </c>
      <c r="B31" s="210" t="s">
        <v>367</v>
      </c>
      <c r="C31" s="212" t="s">
        <v>16</v>
      </c>
      <c r="D31" s="212" t="str">
        <f t="shared" si="18"/>
        <v>SINTRAHOTEIS 2022</v>
      </c>
      <c r="E31" s="212" t="s">
        <v>369</v>
      </c>
      <c r="F31" s="209">
        <v>2</v>
      </c>
      <c r="G31" s="213">
        <v>2961</v>
      </c>
      <c r="H31" s="214" t="str">
        <f t="shared" si="19"/>
        <v>1º de Janeiro</v>
      </c>
      <c r="I31" s="213" t="s">
        <v>12</v>
      </c>
      <c r="J31" s="213">
        <f>$C$5*20%</f>
        <v>242.4</v>
      </c>
      <c r="K31" s="259">
        <f t="shared" si="12"/>
        <v>87.57</v>
      </c>
      <c r="L31" s="213">
        <f t="shared" si="13"/>
        <v>158.11000000000001</v>
      </c>
      <c r="M31" s="213">
        <f t="shared" si="20"/>
        <v>0</v>
      </c>
      <c r="N31" s="213">
        <f t="shared" si="14"/>
        <v>235.52</v>
      </c>
      <c r="O31" s="259">
        <f>90.62+49.29</f>
        <v>139.91</v>
      </c>
      <c r="P31" s="260" t="s">
        <v>12</v>
      </c>
      <c r="Q31" s="259">
        <f t="shared" si="15"/>
        <v>25.3</v>
      </c>
      <c r="R31" s="259">
        <f t="shared" si="16"/>
        <v>6.43</v>
      </c>
      <c r="S31" s="270">
        <f t="shared" si="17"/>
        <v>140.28</v>
      </c>
      <c r="U31" s="225"/>
    </row>
    <row r="32" spans="1:21" s="164" customFormat="1">
      <c r="A32" s="209" t="s">
        <v>381</v>
      </c>
      <c r="B32" s="210" t="s">
        <v>367</v>
      </c>
      <c r="C32" s="211" t="s">
        <v>339</v>
      </c>
      <c r="D32" s="212" t="str">
        <f t="shared" si="18"/>
        <v>SINTRAHOTEIS 2022</v>
      </c>
      <c r="E32" s="212" t="s">
        <v>369</v>
      </c>
      <c r="F32" s="215">
        <v>1</v>
      </c>
      <c r="G32" s="213">
        <v>2539.54</v>
      </c>
      <c r="H32" s="214" t="str">
        <f t="shared" si="19"/>
        <v>1º de Janeiro</v>
      </c>
      <c r="I32" s="213" t="s">
        <v>12</v>
      </c>
      <c r="J32" s="213" t="s">
        <v>12</v>
      </c>
      <c r="K32" s="259">
        <f t="shared" si="12"/>
        <v>100.21</v>
      </c>
      <c r="L32" s="213">
        <f t="shared" si="13"/>
        <v>158.11000000000001</v>
      </c>
      <c r="M32" s="213">
        <f t="shared" si="20"/>
        <v>0</v>
      </c>
      <c r="N32" s="213">
        <f t="shared" si="14"/>
        <v>235.52</v>
      </c>
      <c r="O32" s="259">
        <f>66.62+43.41</f>
        <v>110.03</v>
      </c>
      <c r="P32" s="260" t="s">
        <v>12</v>
      </c>
      <c r="Q32" s="259">
        <f t="shared" si="15"/>
        <v>25.3</v>
      </c>
      <c r="R32" s="259">
        <f t="shared" si="16"/>
        <v>6.43</v>
      </c>
      <c r="S32" s="270">
        <f t="shared" si="17"/>
        <v>148.71</v>
      </c>
      <c r="U32" s="225"/>
    </row>
    <row r="33" spans="1:21" s="164" customFormat="1">
      <c r="A33" s="209" t="s">
        <v>382</v>
      </c>
      <c r="B33" s="210" t="s">
        <v>367</v>
      </c>
      <c r="C33" s="211" t="s">
        <v>13</v>
      </c>
      <c r="D33" s="212" t="str">
        <f t="shared" si="18"/>
        <v>SINTRAHOTEIS 2022</v>
      </c>
      <c r="E33" s="212" t="s">
        <v>369</v>
      </c>
      <c r="F33" s="215">
        <v>1</v>
      </c>
      <c r="G33" s="213">
        <v>3288.42</v>
      </c>
      <c r="H33" s="214" t="str">
        <f t="shared" si="19"/>
        <v>1º de Janeiro</v>
      </c>
      <c r="I33" s="213">
        <f>G33*30%</f>
        <v>986.53</v>
      </c>
      <c r="J33" s="213" t="s">
        <v>12</v>
      </c>
      <c r="K33" s="259">
        <f t="shared" si="12"/>
        <v>77.75</v>
      </c>
      <c r="L33" s="213">
        <f t="shared" si="13"/>
        <v>158.11000000000001</v>
      </c>
      <c r="M33" s="213">
        <f t="shared" si="20"/>
        <v>0</v>
      </c>
      <c r="N33" s="213">
        <f t="shared" si="14"/>
        <v>235.52</v>
      </c>
      <c r="O33" s="259">
        <f>169.88+39.51</f>
        <v>209.39</v>
      </c>
      <c r="P33" s="260">
        <f>'Depreciação mensal - Vitória'!F21</f>
        <v>16.97</v>
      </c>
      <c r="Q33" s="259">
        <f t="shared" si="15"/>
        <v>25.3</v>
      </c>
      <c r="R33" s="259">
        <f t="shared" si="16"/>
        <v>6.43</v>
      </c>
      <c r="S33" s="270">
        <f t="shared" si="17"/>
        <v>133.72999999999999</v>
      </c>
      <c r="U33" s="225"/>
    </row>
    <row r="34" spans="1:21" s="164" customFormat="1">
      <c r="A34" s="209" t="s">
        <v>383</v>
      </c>
      <c r="B34" s="210" t="s">
        <v>367</v>
      </c>
      <c r="C34" s="211" t="s">
        <v>11</v>
      </c>
      <c r="D34" s="212" t="str">
        <f t="shared" si="18"/>
        <v>SINTRAHOTEIS 2022</v>
      </c>
      <c r="E34" s="212" t="s">
        <v>369</v>
      </c>
      <c r="F34" s="209">
        <v>1</v>
      </c>
      <c r="G34" s="213">
        <v>1501.43</v>
      </c>
      <c r="H34" s="214" t="str">
        <f t="shared" si="19"/>
        <v>1º de Janeiro</v>
      </c>
      <c r="I34" s="213">
        <f>G34*30%</f>
        <v>450.43</v>
      </c>
      <c r="J34" s="213" t="s">
        <v>12</v>
      </c>
      <c r="K34" s="259">
        <f t="shared" si="12"/>
        <v>131.36000000000001</v>
      </c>
      <c r="L34" s="213">
        <f t="shared" si="13"/>
        <v>158.11000000000001</v>
      </c>
      <c r="M34" s="213">
        <f t="shared" si="20"/>
        <v>0</v>
      </c>
      <c r="N34" s="213">
        <f t="shared" si="14"/>
        <v>235.52</v>
      </c>
      <c r="O34" s="259">
        <f>165.13+39.51</f>
        <v>204.64</v>
      </c>
      <c r="P34" s="260">
        <f>'Depreciação mensal - Vitória'!F21</f>
        <v>16.97</v>
      </c>
      <c r="Q34" s="259">
        <f t="shared" si="15"/>
        <v>25.3</v>
      </c>
      <c r="R34" s="259">
        <f t="shared" si="16"/>
        <v>6.43</v>
      </c>
      <c r="S34" s="270">
        <f t="shared" si="17"/>
        <v>169.47</v>
      </c>
      <c r="U34" s="225"/>
    </row>
    <row r="35" spans="1:21" s="164" customFormat="1">
      <c r="A35" s="209" t="s">
        <v>384</v>
      </c>
      <c r="B35" s="210" t="s">
        <v>367</v>
      </c>
      <c r="C35" s="211" t="s">
        <v>18</v>
      </c>
      <c r="D35" s="212" t="str">
        <f t="shared" si="18"/>
        <v>SINTRAHOTEIS 2022</v>
      </c>
      <c r="E35" s="212" t="s">
        <v>369</v>
      </c>
      <c r="F35" s="209">
        <v>2</v>
      </c>
      <c r="G35" s="213">
        <v>1494.03</v>
      </c>
      <c r="H35" s="214" t="str">
        <f t="shared" si="19"/>
        <v>1º de Janeiro</v>
      </c>
      <c r="I35" s="213" t="s">
        <v>12</v>
      </c>
      <c r="J35" s="213">
        <f t="shared" ref="J35:J42" si="21">$C$5*20%</f>
        <v>242.4</v>
      </c>
      <c r="K35" s="259">
        <f t="shared" si="12"/>
        <v>131.58000000000001</v>
      </c>
      <c r="L35" s="213">
        <f t="shared" si="13"/>
        <v>158.11000000000001</v>
      </c>
      <c r="M35" s="213">
        <f t="shared" si="20"/>
        <v>0</v>
      </c>
      <c r="N35" s="213">
        <f t="shared" si="14"/>
        <v>235.52</v>
      </c>
      <c r="O35" s="259">
        <f>176.39+18.55</f>
        <v>194.94</v>
      </c>
      <c r="P35" s="260" t="s">
        <v>12</v>
      </c>
      <c r="Q35" s="259">
        <f t="shared" si="15"/>
        <v>25.3</v>
      </c>
      <c r="R35" s="259">
        <f t="shared" si="16"/>
        <v>6.43</v>
      </c>
      <c r="S35" s="270">
        <f t="shared" si="17"/>
        <v>169.62</v>
      </c>
      <c r="U35" s="225"/>
    </row>
    <row r="36" spans="1:21" s="165" customFormat="1">
      <c r="A36" s="216"/>
      <c r="B36" s="216"/>
      <c r="C36" s="216"/>
      <c r="D36" s="216"/>
      <c r="E36" s="216"/>
      <c r="F36" s="216">
        <f>SUM(F23:F35)</f>
        <v>73</v>
      </c>
      <c r="G36" s="216"/>
      <c r="H36" s="216"/>
      <c r="I36" s="216"/>
      <c r="J36" s="216"/>
      <c r="K36" s="216"/>
      <c r="L36" s="216"/>
      <c r="M36" s="216"/>
      <c r="N36" s="216"/>
      <c r="O36" s="216"/>
      <c r="P36" s="216"/>
      <c r="Q36" s="216"/>
      <c r="R36" s="216"/>
      <c r="S36" s="216"/>
    </row>
    <row r="37" spans="1:21" s="166" customFormat="1">
      <c r="A37" s="209" t="s">
        <v>385</v>
      </c>
      <c r="B37" s="210" t="s">
        <v>386</v>
      </c>
      <c r="C37" s="211" t="s">
        <v>4</v>
      </c>
      <c r="D37" s="212" t="s">
        <v>387</v>
      </c>
      <c r="E37" s="212" t="s">
        <v>369</v>
      </c>
      <c r="F37" s="209">
        <v>1</v>
      </c>
      <c r="G37" s="213">
        <v>1331.28</v>
      </c>
      <c r="H37" s="214" t="str">
        <f>H27</f>
        <v>1º de Janeiro</v>
      </c>
      <c r="I37" s="213" t="s">
        <v>12</v>
      </c>
      <c r="J37" s="213">
        <f t="shared" si="21"/>
        <v>242.4</v>
      </c>
      <c r="K37" s="259">
        <f>IF(($E$3*$C$4*2)-(G37*3%)&gt;=0,($E$3*$C$4*2)-(G37*3%),"")</f>
        <v>86.06</v>
      </c>
      <c r="L37" s="213">
        <f t="shared" ref="L37:L46" si="22">$C$9</f>
        <v>158.11000000000001</v>
      </c>
      <c r="M37" s="213">
        <f>T3</f>
        <v>0</v>
      </c>
      <c r="N37" s="213">
        <f t="shared" ref="N37:N46" si="23">$F$16</f>
        <v>233.37</v>
      </c>
      <c r="O37" s="259">
        <f>181.24+36.31</f>
        <v>217.55</v>
      </c>
      <c r="P37" s="260">
        <f>'Depreciação mensal - Alegre&amp;JM'!F8</f>
        <v>1.37</v>
      </c>
      <c r="Q37" s="259">
        <f t="shared" ref="Q37:Q46" si="24">$F$9</f>
        <v>25.3</v>
      </c>
      <c r="R37" s="259">
        <f t="shared" ref="R37:R46" si="25">$C$16</f>
        <v>6.43</v>
      </c>
      <c r="S37" s="270">
        <f t="shared" ref="S37:S46" si="26">(9.5*$C$4)-(G37*2%)</f>
        <v>172.87</v>
      </c>
      <c r="U37" s="225"/>
    </row>
    <row r="38" spans="1:21" s="166" customFormat="1">
      <c r="A38" s="209" t="s">
        <v>388</v>
      </c>
      <c r="B38" s="210" t="s">
        <v>386</v>
      </c>
      <c r="C38" s="211" t="s">
        <v>5</v>
      </c>
      <c r="D38" s="212" t="s">
        <v>387</v>
      </c>
      <c r="E38" s="212" t="s">
        <v>369</v>
      </c>
      <c r="F38" s="209">
        <v>2</v>
      </c>
      <c r="G38" s="213">
        <v>1304.8</v>
      </c>
      <c r="H38" s="214" t="str">
        <f t="shared" ref="H38:H46" si="27">$H$23</f>
        <v>1º de Janeiro</v>
      </c>
      <c r="I38" s="213" t="s">
        <v>12</v>
      </c>
      <c r="J38" s="213" t="s">
        <v>12</v>
      </c>
      <c r="K38" s="259">
        <f t="shared" ref="K38:K46" si="28">IF(($E$3*$C$4*2)-(G38*3%)&gt;=0,($E$3*$C$4*2)-(G38*3%),"")</f>
        <v>86.86</v>
      </c>
      <c r="L38" s="213">
        <f t="shared" si="22"/>
        <v>158.11000000000001</v>
      </c>
      <c r="M38" s="213">
        <f t="shared" ref="M38:M46" si="29">T4</f>
        <v>0</v>
      </c>
      <c r="N38" s="213">
        <f t="shared" si="23"/>
        <v>233.37</v>
      </c>
      <c r="O38" s="259">
        <f>84.19+49.29</f>
        <v>133.47999999999999</v>
      </c>
      <c r="P38" s="260">
        <f>'Depreciação mensal - Alegre&amp;JM'!F8</f>
        <v>1.37</v>
      </c>
      <c r="Q38" s="259">
        <f t="shared" si="24"/>
        <v>25.3</v>
      </c>
      <c r="R38" s="259">
        <f t="shared" si="25"/>
        <v>6.43</v>
      </c>
      <c r="S38" s="270">
        <f t="shared" si="26"/>
        <v>173.4</v>
      </c>
      <c r="U38" s="225"/>
    </row>
    <row r="39" spans="1:21" s="166" customFormat="1">
      <c r="A39" s="209" t="s">
        <v>389</v>
      </c>
      <c r="B39" s="210" t="s">
        <v>386</v>
      </c>
      <c r="C39" s="211" t="s">
        <v>326</v>
      </c>
      <c r="D39" s="212" t="s">
        <v>387</v>
      </c>
      <c r="E39" s="212" t="s">
        <v>369</v>
      </c>
      <c r="F39" s="209">
        <v>12</v>
      </c>
      <c r="G39" s="213">
        <v>1304.8</v>
      </c>
      <c r="H39" s="214" t="str">
        <f t="shared" si="27"/>
        <v>1º de Janeiro</v>
      </c>
      <c r="I39" s="213" t="s">
        <v>12</v>
      </c>
      <c r="J39" s="213">
        <f t="shared" si="21"/>
        <v>242.4</v>
      </c>
      <c r="K39" s="259">
        <f t="shared" si="28"/>
        <v>86.86</v>
      </c>
      <c r="L39" s="213">
        <f t="shared" si="22"/>
        <v>158.11000000000001</v>
      </c>
      <c r="M39" s="213">
        <f t="shared" si="29"/>
        <v>35.229999999999997</v>
      </c>
      <c r="N39" s="213">
        <f t="shared" si="23"/>
        <v>233.37</v>
      </c>
      <c r="O39" s="259">
        <f>231.54+27.99</f>
        <v>259.52999999999997</v>
      </c>
      <c r="P39" s="260">
        <f>'Depreciação mensal - Alegre&amp;JM'!F8</f>
        <v>1.37</v>
      </c>
      <c r="Q39" s="259">
        <f t="shared" si="24"/>
        <v>25.3</v>
      </c>
      <c r="R39" s="259">
        <f t="shared" si="25"/>
        <v>6.43</v>
      </c>
      <c r="S39" s="270">
        <f t="shared" si="26"/>
        <v>173.4</v>
      </c>
      <c r="U39" s="225"/>
    </row>
    <row r="40" spans="1:21" s="166" customFormat="1">
      <c r="A40" s="209" t="s">
        <v>390</v>
      </c>
      <c r="B40" s="210" t="s">
        <v>386</v>
      </c>
      <c r="C40" s="211" t="s">
        <v>327</v>
      </c>
      <c r="D40" s="212" t="s">
        <v>387</v>
      </c>
      <c r="E40" s="212" t="s">
        <v>369</v>
      </c>
      <c r="F40" s="209">
        <v>4</v>
      </c>
      <c r="G40" s="213">
        <v>1435.28</v>
      </c>
      <c r="H40" s="214" t="str">
        <f t="shared" si="27"/>
        <v>1º de Janeiro</v>
      </c>
      <c r="I40" s="213" t="s">
        <v>12</v>
      </c>
      <c r="J40" s="213">
        <f t="shared" si="21"/>
        <v>242.4</v>
      </c>
      <c r="K40" s="259">
        <f t="shared" si="28"/>
        <v>82.94</v>
      </c>
      <c r="L40" s="213">
        <f t="shared" si="22"/>
        <v>158.11000000000001</v>
      </c>
      <c r="M40" s="213">
        <f t="shared" si="29"/>
        <v>0</v>
      </c>
      <c r="N40" s="213">
        <f t="shared" si="23"/>
        <v>233.37</v>
      </c>
      <c r="O40" s="259">
        <f>309.56+34.79</f>
        <v>344.35</v>
      </c>
      <c r="P40" s="260">
        <f>'Depreciação mensal - Alegre&amp;JM'!F8</f>
        <v>1.37</v>
      </c>
      <c r="Q40" s="259">
        <f t="shared" si="24"/>
        <v>25.3</v>
      </c>
      <c r="R40" s="259">
        <f t="shared" si="25"/>
        <v>6.43</v>
      </c>
      <c r="S40" s="270">
        <f t="shared" si="26"/>
        <v>170.79</v>
      </c>
      <c r="U40" s="225"/>
    </row>
    <row r="41" spans="1:21" s="166" customFormat="1">
      <c r="A41" s="209" t="s">
        <v>391</v>
      </c>
      <c r="B41" s="210" t="s">
        <v>386</v>
      </c>
      <c r="C41" s="211" t="s">
        <v>8</v>
      </c>
      <c r="D41" s="212" t="s">
        <v>387</v>
      </c>
      <c r="E41" s="212" t="s">
        <v>369</v>
      </c>
      <c r="F41" s="209">
        <v>1</v>
      </c>
      <c r="G41" s="213">
        <v>1370.04</v>
      </c>
      <c r="H41" s="214" t="str">
        <f t="shared" si="27"/>
        <v>1º de Janeiro</v>
      </c>
      <c r="I41" s="213" t="s">
        <v>12</v>
      </c>
      <c r="J41" s="213">
        <f t="shared" si="21"/>
        <v>242.4</v>
      </c>
      <c r="K41" s="259">
        <f t="shared" si="28"/>
        <v>84.9</v>
      </c>
      <c r="L41" s="213">
        <f t="shared" si="22"/>
        <v>158.11000000000001</v>
      </c>
      <c r="M41" s="213">
        <f t="shared" si="29"/>
        <v>0</v>
      </c>
      <c r="N41" s="213">
        <f t="shared" si="23"/>
        <v>233.37</v>
      </c>
      <c r="O41" s="259">
        <f>111.15+27.83</f>
        <v>138.97999999999999</v>
      </c>
      <c r="P41" s="260">
        <f>'Depreciação mensal - Alegre&amp;JM'!F8</f>
        <v>1.37</v>
      </c>
      <c r="Q41" s="259">
        <f t="shared" si="24"/>
        <v>25.3</v>
      </c>
      <c r="R41" s="259">
        <f t="shared" si="25"/>
        <v>6.43</v>
      </c>
      <c r="S41" s="270">
        <f t="shared" si="26"/>
        <v>172.1</v>
      </c>
      <c r="U41" s="225"/>
    </row>
    <row r="42" spans="1:21" s="166" customFormat="1">
      <c r="A42" s="209" t="s">
        <v>392</v>
      </c>
      <c r="B42" s="210" t="s">
        <v>386</v>
      </c>
      <c r="C42" s="211" t="s">
        <v>15</v>
      </c>
      <c r="D42" s="212" t="s">
        <v>387</v>
      </c>
      <c r="E42" s="212" t="s">
        <v>369</v>
      </c>
      <c r="F42" s="209">
        <v>4</v>
      </c>
      <c r="G42" s="213">
        <v>1822.41</v>
      </c>
      <c r="H42" s="214" t="str">
        <f t="shared" si="27"/>
        <v>1º de Janeiro</v>
      </c>
      <c r="I42" s="213" t="s">
        <v>12</v>
      </c>
      <c r="J42" s="213">
        <f t="shared" si="21"/>
        <v>242.4</v>
      </c>
      <c r="K42" s="259">
        <f t="shared" si="28"/>
        <v>71.33</v>
      </c>
      <c r="L42" s="213">
        <f t="shared" si="22"/>
        <v>158.11000000000001</v>
      </c>
      <c r="M42" s="213">
        <f t="shared" si="29"/>
        <v>0</v>
      </c>
      <c r="N42" s="213">
        <f t="shared" si="23"/>
        <v>233.37</v>
      </c>
      <c r="O42" s="259">
        <f>200.53+27.83</f>
        <v>228.36</v>
      </c>
      <c r="P42" s="260">
        <f>'Depreciação mensal - Alegre&amp;JM'!F8</f>
        <v>1.37</v>
      </c>
      <c r="Q42" s="259">
        <f t="shared" si="24"/>
        <v>25.3</v>
      </c>
      <c r="R42" s="259">
        <f t="shared" si="25"/>
        <v>6.43</v>
      </c>
      <c r="S42" s="270">
        <f t="shared" si="26"/>
        <v>163.05000000000001</v>
      </c>
      <c r="U42" s="225"/>
    </row>
    <row r="43" spans="1:21" s="166" customFormat="1">
      <c r="A43" s="209" t="s">
        <v>393</v>
      </c>
      <c r="B43" s="210" t="s">
        <v>386</v>
      </c>
      <c r="C43" s="211" t="s">
        <v>333</v>
      </c>
      <c r="D43" s="212" t="s">
        <v>387</v>
      </c>
      <c r="E43" s="212" t="s">
        <v>369</v>
      </c>
      <c r="F43" s="209">
        <v>2</v>
      </c>
      <c r="G43" s="213">
        <v>1261.8699999999999</v>
      </c>
      <c r="H43" s="214" t="str">
        <f t="shared" si="27"/>
        <v>1º de Janeiro</v>
      </c>
      <c r="I43" s="213" t="s">
        <v>12</v>
      </c>
      <c r="J43" s="213" t="s">
        <v>12</v>
      </c>
      <c r="K43" s="259">
        <f t="shared" si="28"/>
        <v>88.14</v>
      </c>
      <c r="L43" s="213">
        <f t="shared" si="22"/>
        <v>158.11000000000001</v>
      </c>
      <c r="M43" s="213">
        <f t="shared" si="29"/>
        <v>0</v>
      </c>
      <c r="N43" s="213">
        <f t="shared" si="23"/>
        <v>233.37</v>
      </c>
      <c r="O43" s="259">
        <f>102.58+43.37</f>
        <v>145.94999999999999</v>
      </c>
      <c r="P43" s="260">
        <f>'Depreciação mensal - Alegre&amp;JM'!F8</f>
        <v>1.37</v>
      </c>
      <c r="Q43" s="259">
        <f t="shared" si="24"/>
        <v>25.3</v>
      </c>
      <c r="R43" s="259">
        <f t="shared" si="25"/>
        <v>6.43</v>
      </c>
      <c r="S43" s="270">
        <f t="shared" si="26"/>
        <v>174.26</v>
      </c>
      <c r="U43" s="225"/>
    </row>
    <row r="44" spans="1:21" s="166" customFormat="1">
      <c r="A44" s="209" t="s">
        <v>394</v>
      </c>
      <c r="B44" s="210" t="s">
        <v>386</v>
      </c>
      <c r="C44" s="211" t="s">
        <v>336</v>
      </c>
      <c r="D44" s="212" t="s">
        <v>387</v>
      </c>
      <c r="E44" s="212" t="s">
        <v>369</v>
      </c>
      <c r="F44" s="209">
        <v>3</v>
      </c>
      <c r="G44" s="213">
        <v>1261.8699999999999</v>
      </c>
      <c r="H44" s="214" t="str">
        <f t="shared" si="27"/>
        <v>1º de Janeiro</v>
      </c>
      <c r="I44" s="213" t="s">
        <v>12</v>
      </c>
      <c r="J44" s="213">
        <f>$C$5*40%</f>
        <v>484.8</v>
      </c>
      <c r="K44" s="259">
        <f t="shared" si="28"/>
        <v>88.14</v>
      </c>
      <c r="L44" s="213">
        <f t="shared" si="22"/>
        <v>158.11000000000001</v>
      </c>
      <c r="M44" s="213">
        <f t="shared" si="29"/>
        <v>0</v>
      </c>
      <c r="N44" s="213">
        <f t="shared" si="23"/>
        <v>233.37</v>
      </c>
      <c r="O44" s="259">
        <f>109.24+43.37</f>
        <v>152.61000000000001</v>
      </c>
      <c r="P44" s="260">
        <f>'Depreciação mensal - Alegre&amp;JM'!F8</f>
        <v>1.37</v>
      </c>
      <c r="Q44" s="259">
        <f t="shared" si="24"/>
        <v>25.3</v>
      </c>
      <c r="R44" s="259">
        <f t="shared" si="25"/>
        <v>6.43</v>
      </c>
      <c r="S44" s="270">
        <f t="shared" si="26"/>
        <v>174.26</v>
      </c>
      <c r="U44" s="225"/>
    </row>
    <row r="45" spans="1:21" s="166" customFormat="1">
      <c r="A45" s="209" t="s">
        <v>395</v>
      </c>
      <c r="B45" s="210" t="s">
        <v>386</v>
      </c>
      <c r="C45" s="212" t="s">
        <v>16</v>
      </c>
      <c r="D45" s="212" t="s">
        <v>387</v>
      </c>
      <c r="E45" s="212" t="s">
        <v>369</v>
      </c>
      <c r="F45" s="209">
        <v>2</v>
      </c>
      <c r="G45" s="213">
        <v>2961</v>
      </c>
      <c r="H45" s="214" t="str">
        <f t="shared" si="27"/>
        <v>1º de Janeiro</v>
      </c>
      <c r="I45" s="213" t="s">
        <v>12</v>
      </c>
      <c r="J45" s="213">
        <f>$C$5*20%</f>
        <v>242.4</v>
      </c>
      <c r="K45" s="259">
        <f t="shared" si="28"/>
        <v>37.17</v>
      </c>
      <c r="L45" s="213">
        <f t="shared" si="22"/>
        <v>158.11000000000001</v>
      </c>
      <c r="M45" s="213">
        <f t="shared" si="29"/>
        <v>0</v>
      </c>
      <c r="N45" s="213">
        <f t="shared" si="23"/>
        <v>233.37</v>
      </c>
      <c r="O45" s="259">
        <f>90.62+49.29</f>
        <v>139.91</v>
      </c>
      <c r="P45" s="260">
        <f>'Depreciação mensal - Alegre&amp;JM'!F8</f>
        <v>1.37</v>
      </c>
      <c r="Q45" s="259">
        <f t="shared" si="24"/>
        <v>25.3</v>
      </c>
      <c r="R45" s="259">
        <f t="shared" si="25"/>
        <v>6.43</v>
      </c>
      <c r="S45" s="270">
        <f t="shared" si="26"/>
        <v>140.28</v>
      </c>
      <c r="U45" s="225"/>
    </row>
    <row r="46" spans="1:21" s="166" customFormat="1">
      <c r="A46" s="209" t="s">
        <v>396</v>
      </c>
      <c r="B46" s="210" t="s">
        <v>386</v>
      </c>
      <c r="C46" s="217" t="s">
        <v>17</v>
      </c>
      <c r="D46" s="212" t="s">
        <v>387</v>
      </c>
      <c r="E46" s="212" t="s">
        <v>369</v>
      </c>
      <c r="F46" s="215">
        <v>1</v>
      </c>
      <c r="G46" s="213">
        <v>1411.41</v>
      </c>
      <c r="H46" s="214" t="str">
        <f t="shared" si="27"/>
        <v>1º de Janeiro</v>
      </c>
      <c r="I46" s="213">
        <f>G46*30%</f>
        <v>423.42</v>
      </c>
      <c r="J46" s="213" t="s">
        <v>12</v>
      </c>
      <c r="K46" s="259">
        <f t="shared" si="28"/>
        <v>83.66</v>
      </c>
      <c r="L46" s="213">
        <f t="shared" si="22"/>
        <v>158.11000000000001</v>
      </c>
      <c r="M46" s="213">
        <f t="shared" si="29"/>
        <v>0</v>
      </c>
      <c r="N46" s="213">
        <f t="shared" si="23"/>
        <v>233.37</v>
      </c>
      <c r="O46" s="259">
        <f>173.57+39.51</f>
        <v>213.08</v>
      </c>
      <c r="P46" s="260">
        <f>'Depreciação mensal - Alegre&amp;JM'!F8+'Depreciação mensal - Alegre&amp;JM'!F22</f>
        <v>32.159999999999997</v>
      </c>
      <c r="Q46" s="259">
        <f t="shared" si="24"/>
        <v>25.3</v>
      </c>
      <c r="R46" s="259">
        <f t="shared" si="25"/>
        <v>6.43</v>
      </c>
      <c r="S46" s="270">
        <f t="shared" si="26"/>
        <v>171.27</v>
      </c>
      <c r="U46" s="225"/>
    </row>
    <row r="47" spans="1:21" s="166" customFormat="1">
      <c r="A47" s="218"/>
      <c r="B47" s="219"/>
      <c r="C47" s="216"/>
      <c r="D47" s="218"/>
      <c r="E47" s="220"/>
      <c r="F47" s="221">
        <f>SUM(F37:F46)</f>
        <v>32</v>
      </c>
      <c r="G47" s="222"/>
      <c r="H47" s="223"/>
      <c r="I47" s="220"/>
      <c r="J47" s="220"/>
      <c r="K47" s="220"/>
      <c r="L47" s="220"/>
      <c r="M47" s="220"/>
      <c r="N47" s="220"/>
      <c r="O47" s="220"/>
      <c r="P47" s="220"/>
      <c r="Q47" s="222"/>
      <c r="R47" s="222"/>
      <c r="S47" s="272"/>
      <c r="U47" s="273"/>
    </row>
    <row r="48" spans="1:21" s="166" customFormat="1">
      <c r="A48" s="209" t="s">
        <v>397</v>
      </c>
      <c r="B48" s="210" t="s">
        <v>398</v>
      </c>
      <c r="C48" s="211" t="s">
        <v>4</v>
      </c>
      <c r="D48" s="212" t="str">
        <f>$D$23</f>
        <v>SINTRAHOTEIS 2022</v>
      </c>
      <c r="E48" s="212" t="s">
        <v>369</v>
      </c>
      <c r="F48" s="209">
        <v>1</v>
      </c>
      <c r="G48" s="213">
        <v>1583.08</v>
      </c>
      <c r="H48" s="214" t="str">
        <f>H39</f>
        <v>1º de Janeiro</v>
      </c>
      <c r="I48" s="213" t="s">
        <v>12</v>
      </c>
      <c r="J48" s="213">
        <f t="shared" ref="J48:J53" si="30">$C$5*20%</f>
        <v>242.4</v>
      </c>
      <c r="K48" s="259">
        <f t="shared" ref="K48:K57" si="31">IF(($E$4*$C$4*2)-(G48*3%)&gt;=0,($E$4*$C$4*2)-(G48*3%),"")</f>
        <v>101.61</v>
      </c>
      <c r="L48" s="213">
        <f t="shared" ref="L48:L57" si="32">$C$9</f>
        <v>158.11000000000001</v>
      </c>
      <c r="M48" s="213">
        <f>AA3</f>
        <v>0</v>
      </c>
      <c r="N48" s="213">
        <f t="shared" ref="N48:N57" si="33">$F$11</f>
        <v>230.26</v>
      </c>
      <c r="O48" s="259">
        <f>181.24+36.31</f>
        <v>217.55</v>
      </c>
      <c r="P48" s="260">
        <f>'Depreciação mensal - São Mateus'!F8</f>
        <v>1.91</v>
      </c>
      <c r="Q48" s="259">
        <f t="shared" ref="Q48:Q57" si="34">$F$9</f>
        <v>25.3</v>
      </c>
      <c r="R48" s="259">
        <f t="shared" ref="R48:R57" si="35">$C$10</f>
        <v>6.43</v>
      </c>
      <c r="S48" s="270">
        <f t="shared" ref="S48:S57" si="36">(9.5*$C$4)-(G48*2%)</f>
        <v>167.84</v>
      </c>
      <c r="U48" s="225"/>
    </row>
    <row r="49" spans="1:21" s="166" customFormat="1">
      <c r="A49" s="209" t="s">
        <v>399</v>
      </c>
      <c r="B49" s="210" t="s">
        <v>398</v>
      </c>
      <c r="C49" s="211" t="s">
        <v>5</v>
      </c>
      <c r="D49" s="212" t="str">
        <f t="shared" ref="D49:D57" si="37">$D$23</f>
        <v>SINTRAHOTEIS 2022</v>
      </c>
      <c r="E49" s="212" t="s">
        <v>369</v>
      </c>
      <c r="F49" s="209">
        <v>2</v>
      </c>
      <c r="G49" s="213">
        <v>1304.8</v>
      </c>
      <c r="H49" s="214" t="str">
        <f t="shared" ref="H49:H57" si="38">$H$23</f>
        <v>1º de Janeiro</v>
      </c>
      <c r="I49" s="213" t="s">
        <v>12</v>
      </c>
      <c r="J49" s="213" t="s">
        <v>12</v>
      </c>
      <c r="K49" s="259">
        <f t="shared" si="31"/>
        <v>109.96</v>
      </c>
      <c r="L49" s="213">
        <f t="shared" si="32"/>
        <v>158.11000000000001</v>
      </c>
      <c r="M49" s="213">
        <f t="shared" ref="M49:M57" si="39">AA4</f>
        <v>0</v>
      </c>
      <c r="N49" s="213">
        <f t="shared" si="33"/>
        <v>230.26</v>
      </c>
      <c r="O49" s="259">
        <f>51.26+49.29</f>
        <v>100.55</v>
      </c>
      <c r="P49" s="260">
        <f>'Depreciação mensal - São Mateus'!F8</f>
        <v>1.91</v>
      </c>
      <c r="Q49" s="259">
        <f t="shared" si="34"/>
        <v>25.3</v>
      </c>
      <c r="R49" s="259">
        <f t="shared" si="35"/>
        <v>6.43</v>
      </c>
      <c r="S49" s="270">
        <f t="shared" si="36"/>
        <v>173.4</v>
      </c>
      <c r="U49" s="225"/>
    </row>
    <row r="50" spans="1:21" s="166" customFormat="1">
      <c r="A50" s="209" t="s">
        <v>400</v>
      </c>
      <c r="B50" s="210" t="s">
        <v>398</v>
      </c>
      <c r="C50" s="211" t="s">
        <v>326</v>
      </c>
      <c r="D50" s="212" t="str">
        <f t="shared" si="37"/>
        <v>SINTRAHOTEIS 2022</v>
      </c>
      <c r="E50" s="212" t="s">
        <v>369</v>
      </c>
      <c r="F50" s="209">
        <v>9</v>
      </c>
      <c r="G50" s="213">
        <v>1304.8</v>
      </c>
      <c r="H50" s="214" t="str">
        <f t="shared" si="38"/>
        <v>1º de Janeiro</v>
      </c>
      <c r="I50" s="213" t="s">
        <v>12</v>
      </c>
      <c r="J50" s="213">
        <f t="shared" si="30"/>
        <v>242.4</v>
      </c>
      <c r="K50" s="259">
        <f t="shared" si="31"/>
        <v>109.96</v>
      </c>
      <c r="L50" s="213">
        <f t="shared" si="32"/>
        <v>158.11000000000001</v>
      </c>
      <c r="M50" s="213">
        <f t="shared" si="39"/>
        <v>0</v>
      </c>
      <c r="N50" s="213">
        <f t="shared" si="33"/>
        <v>230.26</v>
      </c>
      <c r="O50" s="259">
        <f>236.64+27.99</f>
        <v>264.63</v>
      </c>
      <c r="P50" s="260">
        <f>'Depreciação mensal - São Mateus'!F8</f>
        <v>1.91</v>
      </c>
      <c r="Q50" s="259">
        <f t="shared" si="34"/>
        <v>25.3</v>
      </c>
      <c r="R50" s="259">
        <f t="shared" si="35"/>
        <v>6.43</v>
      </c>
      <c r="S50" s="270">
        <f t="shared" si="36"/>
        <v>173.4</v>
      </c>
      <c r="U50" s="225"/>
    </row>
    <row r="51" spans="1:21" s="166" customFormat="1">
      <c r="A51" s="209" t="s">
        <v>401</v>
      </c>
      <c r="B51" s="210" t="s">
        <v>398</v>
      </c>
      <c r="C51" s="211" t="s">
        <v>327</v>
      </c>
      <c r="D51" s="212" t="str">
        <f t="shared" si="37"/>
        <v>SINTRAHOTEIS 2022</v>
      </c>
      <c r="E51" s="212" t="s">
        <v>369</v>
      </c>
      <c r="F51" s="209">
        <v>2</v>
      </c>
      <c r="G51" s="213">
        <v>1435.28</v>
      </c>
      <c r="H51" s="214" t="str">
        <f t="shared" si="38"/>
        <v>1º de Janeiro</v>
      </c>
      <c r="I51" s="213" t="s">
        <v>12</v>
      </c>
      <c r="J51" s="213">
        <f t="shared" si="30"/>
        <v>242.4</v>
      </c>
      <c r="K51" s="259">
        <f t="shared" si="31"/>
        <v>106.04</v>
      </c>
      <c r="L51" s="213">
        <f t="shared" si="32"/>
        <v>158.11000000000001</v>
      </c>
      <c r="M51" s="213">
        <f t="shared" si="39"/>
        <v>0</v>
      </c>
      <c r="N51" s="213">
        <f t="shared" si="33"/>
        <v>230.26</v>
      </c>
      <c r="O51" s="259">
        <f>244.5+27.83</f>
        <v>272.33</v>
      </c>
      <c r="P51" s="260">
        <f>'Depreciação mensal - São Mateus'!F8</f>
        <v>1.91</v>
      </c>
      <c r="Q51" s="259">
        <f t="shared" si="34"/>
        <v>25.3</v>
      </c>
      <c r="R51" s="259">
        <f t="shared" si="35"/>
        <v>6.43</v>
      </c>
      <c r="S51" s="270">
        <f t="shared" si="36"/>
        <v>170.79</v>
      </c>
      <c r="U51" s="225"/>
    </row>
    <row r="52" spans="1:21" s="166" customFormat="1">
      <c r="A52" s="209" t="s">
        <v>402</v>
      </c>
      <c r="B52" s="210" t="s">
        <v>398</v>
      </c>
      <c r="C52" s="211" t="s">
        <v>8</v>
      </c>
      <c r="D52" s="212" t="str">
        <f t="shared" si="37"/>
        <v>SINTRAHOTEIS 2022</v>
      </c>
      <c r="E52" s="212" t="s">
        <v>369</v>
      </c>
      <c r="F52" s="209">
        <v>1</v>
      </c>
      <c r="G52" s="213">
        <v>1370.04</v>
      </c>
      <c r="H52" s="214" t="str">
        <f t="shared" si="38"/>
        <v>1º de Janeiro</v>
      </c>
      <c r="I52" s="213" t="s">
        <v>12</v>
      </c>
      <c r="J52" s="213">
        <f t="shared" si="30"/>
        <v>242.4</v>
      </c>
      <c r="K52" s="259">
        <f t="shared" si="31"/>
        <v>108</v>
      </c>
      <c r="L52" s="213">
        <f t="shared" si="32"/>
        <v>158.11000000000001</v>
      </c>
      <c r="M52" s="213">
        <f t="shared" si="39"/>
        <v>0</v>
      </c>
      <c r="N52" s="213">
        <f t="shared" si="33"/>
        <v>230.26</v>
      </c>
      <c r="O52" s="259">
        <f>112.81+27.83</f>
        <v>140.63999999999999</v>
      </c>
      <c r="P52" s="260">
        <f>'Depreciação mensal - São Mateus'!F8</f>
        <v>1.91</v>
      </c>
      <c r="Q52" s="259">
        <f t="shared" si="34"/>
        <v>25.3</v>
      </c>
      <c r="R52" s="259">
        <f t="shared" si="35"/>
        <v>6.43</v>
      </c>
      <c r="S52" s="270">
        <f t="shared" si="36"/>
        <v>172.1</v>
      </c>
      <c r="U52" s="225"/>
    </row>
    <row r="53" spans="1:21" s="166" customFormat="1">
      <c r="A53" s="209" t="s">
        <v>403</v>
      </c>
      <c r="B53" s="210" t="s">
        <v>398</v>
      </c>
      <c r="C53" s="211" t="s">
        <v>15</v>
      </c>
      <c r="D53" s="212" t="str">
        <f t="shared" si="37"/>
        <v>SINTRAHOTEIS 2022</v>
      </c>
      <c r="E53" s="212" t="s">
        <v>369</v>
      </c>
      <c r="F53" s="209">
        <v>2</v>
      </c>
      <c r="G53" s="213">
        <v>1882.4</v>
      </c>
      <c r="H53" s="214" t="str">
        <f t="shared" si="38"/>
        <v>1º de Janeiro</v>
      </c>
      <c r="I53" s="213" t="s">
        <v>12</v>
      </c>
      <c r="J53" s="213">
        <f t="shared" si="30"/>
        <v>242.4</v>
      </c>
      <c r="K53" s="259">
        <f t="shared" si="31"/>
        <v>92.63</v>
      </c>
      <c r="L53" s="213">
        <f t="shared" si="32"/>
        <v>158.11000000000001</v>
      </c>
      <c r="M53" s="213">
        <f t="shared" si="39"/>
        <v>0</v>
      </c>
      <c r="N53" s="213">
        <f t="shared" si="33"/>
        <v>230.26</v>
      </c>
      <c r="O53" s="259">
        <f>210.14+27.83</f>
        <v>237.97</v>
      </c>
      <c r="P53" s="260">
        <f>'Depreciação mensal - São Mateus'!F8</f>
        <v>1.91</v>
      </c>
      <c r="Q53" s="259">
        <f t="shared" si="34"/>
        <v>25.3</v>
      </c>
      <c r="R53" s="259">
        <f t="shared" si="35"/>
        <v>6.43</v>
      </c>
      <c r="S53" s="270">
        <f t="shared" si="36"/>
        <v>161.85</v>
      </c>
      <c r="U53" s="225"/>
    </row>
    <row r="54" spans="1:21" s="166" customFormat="1">
      <c r="A54" s="209" t="s">
        <v>404</v>
      </c>
      <c r="B54" s="210" t="s">
        <v>398</v>
      </c>
      <c r="C54" s="211" t="s">
        <v>333</v>
      </c>
      <c r="D54" s="212" t="str">
        <f t="shared" si="37"/>
        <v>SINTRAHOTEIS 2022</v>
      </c>
      <c r="E54" s="212" t="s">
        <v>369</v>
      </c>
      <c r="F54" s="209">
        <v>2</v>
      </c>
      <c r="G54" s="213">
        <v>1261.9000000000001</v>
      </c>
      <c r="H54" s="214" t="str">
        <f t="shared" si="38"/>
        <v>1º de Janeiro</v>
      </c>
      <c r="I54" s="213" t="s">
        <v>12</v>
      </c>
      <c r="J54" s="213" t="s">
        <v>12</v>
      </c>
      <c r="K54" s="259">
        <f t="shared" si="31"/>
        <v>111.24</v>
      </c>
      <c r="L54" s="213">
        <f t="shared" si="32"/>
        <v>158.11000000000001</v>
      </c>
      <c r="M54" s="213">
        <f t="shared" si="39"/>
        <v>0</v>
      </c>
      <c r="N54" s="213">
        <f t="shared" si="33"/>
        <v>230.26</v>
      </c>
      <c r="O54" s="259">
        <f>102.58+43.37</f>
        <v>145.94999999999999</v>
      </c>
      <c r="P54" s="260">
        <f>'Depreciação mensal - São Mateus'!F8+'Depreciação mensal - São Mateus'!F16</f>
        <v>3.22</v>
      </c>
      <c r="Q54" s="259">
        <f t="shared" si="34"/>
        <v>25.3</v>
      </c>
      <c r="R54" s="259">
        <f t="shared" si="35"/>
        <v>6.43</v>
      </c>
      <c r="S54" s="270">
        <f t="shared" si="36"/>
        <v>174.26</v>
      </c>
      <c r="U54" s="225"/>
    </row>
    <row r="55" spans="1:21" s="166" customFormat="1">
      <c r="A55" s="209" t="s">
        <v>405</v>
      </c>
      <c r="B55" s="210" t="s">
        <v>398</v>
      </c>
      <c r="C55" s="211" t="s">
        <v>336</v>
      </c>
      <c r="D55" s="212" t="str">
        <f t="shared" si="37"/>
        <v>SINTRAHOTEIS 2022</v>
      </c>
      <c r="E55" s="212" t="s">
        <v>369</v>
      </c>
      <c r="F55" s="209">
        <v>1</v>
      </c>
      <c r="G55" s="213">
        <v>1261.9000000000001</v>
      </c>
      <c r="H55" s="214" t="str">
        <f t="shared" si="38"/>
        <v>1º de Janeiro</v>
      </c>
      <c r="I55" s="213" t="s">
        <v>12</v>
      </c>
      <c r="J55" s="213">
        <f>$C$5*40%</f>
        <v>484.8</v>
      </c>
      <c r="K55" s="259">
        <f t="shared" si="31"/>
        <v>111.24</v>
      </c>
      <c r="L55" s="213">
        <f t="shared" si="32"/>
        <v>158.11000000000001</v>
      </c>
      <c r="M55" s="213">
        <f t="shared" si="39"/>
        <v>0</v>
      </c>
      <c r="N55" s="213">
        <f t="shared" si="33"/>
        <v>230.26</v>
      </c>
      <c r="O55" s="259">
        <f>109.24+43.37</f>
        <v>152.61000000000001</v>
      </c>
      <c r="P55" s="260">
        <f>'Depreciação mensal - São Mateus'!F8+'Depreciação mensal - São Mateus'!F16</f>
        <v>3.22</v>
      </c>
      <c r="Q55" s="259">
        <f t="shared" si="34"/>
        <v>25.3</v>
      </c>
      <c r="R55" s="259">
        <f t="shared" si="35"/>
        <v>6.43</v>
      </c>
      <c r="S55" s="270">
        <f t="shared" si="36"/>
        <v>174.26</v>
      </c>
      <c r="U55" s="225"/>
    </row>
    <row r="56" spans="1:21" s="166" customFormat="1">
      <c r="A56" s="209" t="s">
        <v>406</v>
      </c>
      <c r="B56" s="210" t="s">
        <v>398</v>
      </c>
      <c r="C56" s="212" t="s">
        <v>16</v>
      </c>
      <c r="D56" s="212" t="str">
        <f t="shared" si="37"/>
        <v>SINTRAHOTEIS 2022</v>
      </c>
      <c r="E56" s="212" t="s">
        <v>369</v>
      </c>
      <c r="F56" s="209">
        <v>2</v>
      </c>
      <c r="G56" s="213">
        <v>2961</v>
      </c>
      <c r="H56" s="214" t="str">
        <f t="shared" si="38"/>
        <v>1º de Janeiro</v>
      </c>
      <c r="I56" s="213" t="s">
        <v>12</v>
      </c>
      <c r="J56" s="213">
        <f>$C$5*20%</f>
        <v>242.4</v>
      </c>
      <c r="K56" s="259">
        <f t="shared" si="31"/>
        <v>60.27</v>
      </c>
      <c r="L56" s="213">
        <f t="shared" si="32"/>
        <v>158.11000000000001</v>
      </c>
      <c r="M56" s="213">
        <f t="shared" si="39"/>
        <v>0</v>
      </c>
      <c r="N56" s="213">
        <f t="shared" si="33"/>
        <v>230.26</v>
      </c>
      <c r="O56" s="259">
        <f>90.62+49.29</f>
        <v>139.91</v>
      </c>
      <c r="P56" s="260">
        <f>'Depreciação mensal - São Mateus'!F8</f>
        <v>1.91</v>
      </c>
      <c r="Q56" s="259">
        <f t="shared" si="34"/>
        <v>25.3</v>
      </c>
      <c r="R56" s="259">
        <f t="shared" si="35"/>
        <v>6.43</v>
      </c>
      <c r="S56" s="270">
        <f t="shared" si="36"/>
        <v>140.28</v>
      </c>
      <c r="U56" s="225"/>
    </row>
    <row r="57" spans="1:21" s="166" customFormat="1">
      <c r="A57" s="209" t="s">
        <v>407</v>
      </c>
      <c r="B57" s="210" t="s">
        <v>398</v>
      </c>
      <c r="C57" s="217" t="s">
        <v>17</v>
      </c>
      <c r="D57" s="212" t="str">
        <f t="shared" si="37"/>
        <v>SINTRAHOTEIS 2022</v>
      </c>
      <c r="E57" s="212" t="s">
        <v>369</v>
      </c>
      <c r="F57" s="215">
        <v>1</v>
      </c>
      <c r="G57" s="213">
        <v>1425.57</v>
      </c>
      <c r="H57" s="214" t="str">
        <f t="shared" si="38"/>
        <v>1º de Janeiro</v>
      </c>
      <c r="I57" s="213">
        <f>G57*30%</f>
        <v>427.67</v>
      </c>
      <c r="J57" s="213" t="s">
        <v>12</v>
      </c>
      <c r="K57" s="259">
        <f t="shared" si="31"/>
        <v>106.33</v>
      </c>
      <c r="L57" s="213">
        <f t="shared" si="32"/>
        <v>158.11000000000001</v>
      </c>
      <c r="M57" s="213">
        <f t="shared" si="39"/>
        <v>0</v>
      </c>
      <c r="N57" s="213">
        <f t="shared" si="33"/>
        <v>230.26</v>
      </c>
      <c r="O57" s="259">
        <f>139.1+39.51</f>
        <v>178.61</v>
      </c>
      <c r="P57" s="260">
        <f>'Depreciação mensal - São Mateus'!F8+'Depreciação mensal - São Mateus'!F29</f>
        <v>29.45</v>
      </c>
      <c r="Q57" s="259">
        <f t="shared" si="34"/>
        <v>25.3</v>
      </c>
      <c r="R57" s="259">
        <f t="shared" si="35"/>
        <v>6.43</v>
      </c>
      <c r="S57" s="270">
        <f t="shared" si="36"/>
        <v>170.99</v>
      </c>
      <c r="U57" s="225"/>
    </row>
    <row r="58" spans="1:21" s="166" customFormat="1">
      <c r="A58" s="224"/>
      <c r="B58" s="225"/>
      <c r="C58" s="226"/>
      <c r="D58" s="227"/>
      <c r="E58" s="227"/>
      <c r="F58" s="228">
        <f>SUM(F48:F57)</f>
        <v>23</v>
      </c>
      <c r="G58" s="229"/>
      <c r="H58" s="230"/>
      <c r="I58" s="261"/>
      <c r="J58" s="261"/>
      <c r="K58" s="262"/>
      <c r="L58" s="261"/>
      <c r="M58" s="261"/>
      <c r="N58" s="261"/>
      <c r="O58" s="262"/>
      <c r="P58" s="262"/>
      <c r="Q58" s="262"/>
      <c r="R58" s="262"/>
      <c r="S58" s="262"/>
      <c r="T58" s="227"/>
      <c r="U58" s="225"/>
    </row>
    <row r="59" spans="1:21" s="166" customFormat="1">
      <c r="A59" s="224"/>
      <c r="B59" s="225"/>
      <c r="C59" s="226"/>
      <c r="D59" s="227"/>
      <c r="E59" s="227"/>
      <c r="F59" s="228"/>
      <c r="G59" s="229"/>
      <c r="H59" s="230"/>
      <c r="I59" s="261"/>
      <c r="J59" s="261"/>
      <c r="K59" s="262"/>
      <c r="L59" s="261"/>
      <c r="M59" s="261"/>
      <c r="N59" s="261"/>
      <c r="O59" s="262"/>
      <c r="P59" s="262"/>
      <c r="Q59" s="262"/>
      <c r="R59" s="262"/>
      <c r="S59" s="262"/>
      <c r="T59" s="227"/>
      <c r="U59" s="225"/>
    </row>
    <row r="60" spans="1:21" s="167" customFormat="1">
      <c r="A60" s="479" t="s">
        <v>408</v>
      </c>
      <c r="B60" s="480"/>
      <c r="C60" s="481"/>
      <c r="D60" s="482"/>
      <c r="E60" s="482"/>
      <c r="F60" s="483"/>
      <c r="G60" s="484"/>
      <c r="H60" s="485"/>
      <c r="I60" s="486"/>
      <c r="J60" s="263"/>
      <c r="K60" s="264"/>
      <c r="L60" s="263"/>
      <c r="M60" s="263"/>
      <c r="N60" s="263"/>
      <c r="O60" s="264"/>
      <c r="P60" s="264"/>
      <c r="Q60" s="264"/>
      <c r="R60" s="264"/>
      <c r="S60" s="264"/>
      <c r="T60" s="274"/>
      <c r="U60" s="275"/>
    </row>
    <row r="61" spans="1:21" s="166" customFormat="1">
      <c r="B61" s="224"/>
      <c r="C61" s="185"/>
      <c r="D61" s="227"/>
      <c r="E61" s="227"/>
      <c r="G61" s="229"/>
      <c r="H61" s="230"/>
      <c r="I61" s="261"/>
      <c r="J61" s="261"/>
      <c r="K61" s="261"/>
      <c r="L61" s="261"/>
      <c r="M61" s="227"/>
      <c r="N61" s="261"/>
      <c r="O61" s="261"/>
      <c r="P61" s="261"/>
      <c r="Q61" s="262"/>
      <c r="R61" s="262"/>
      <c r="S61" s="262"/>
      <c r="T61" s="262"/>
      <c r="U61" s="262"/>
    </row>
    <row r="62" spans="1:21" s="166" customFormat="1">
      <c r="B62" s="231" t="s">
        <v>409</v>
      </c>
      <c r="C62" s="185"/>
      <c r="D62" s="227"/>
      <c r="E62" s="227"/>
      <c r="F62" s="228"/>
      <c r="G62" s="229"/>
      <c r="H62" s="230"/>
      <c r="I62" s="261"/>
      <c r="J62" s="261"/>
      <c r="K62" s="261"/>
      <c r="L62" s="261"/>
      <c r="M62" s="227"/>
      <c r="N62" s="261"/>
      <c r="O62" s="261"/>
      <c r="P62" s="261"/>
      <c r="Q62" s="262"/>
      <c r="R62" s="262"/>
      <c r="S62" s="262"/>
      <c r="T62" s="262"/>
      <c r="U62" s="262"/>
    </row>
    <row r="63" spans="1:21" s="166" customFormat="1">
      <c r="B63" s="232" t="s">
        <v>138</v>
      </c>
      <c r="C63" s="233">
        <v>0.05</v>
      </c>
      <c r="D63" s="227"/>
      <c r="E63" s="227"/>
      <c r="F63" s="234"/>
      <c r="G63" s="229"/>
      <c r="H63" s="230"/>
      <c r="I63" s="261"/>
      <c r="J63" s="261"/>
      <c r="K63" s="261"/>
      <c r="L63" s="261"/>
      <c r="M63" s="227"/>
      <c r="N63" s="261"/>
      <c r="O63" s="261"/>
      <c r="P63" s="261"/>
      <c r="Q63" s="262"/>
      <c r="R63" s="262"/>
      <c r="S63" s="262"/>
      <c r="T63" s="262"/>
      <c r="U63" s="262"/>
    </row>
    <row r="64" spans="1:21">
      <c r="B64" s="180" t="s">
        <v>410</v>
      </c>
      <c r="C64" s="235">
        <v>0.1</v>
      </c>
      <c r="T64" s="171"/>
    </row>
    <row r="65" spans="2:20">
      <c r="B65" s="236" t="s">
        <v>411</v>
      </c>
      <c r="C65" s="237"/>
      <c r="T65" s="171"/>
    </row>
    <row r="66" spans="2:20">
      <c r="B66" s="180" t="s">
        <v>412</v>
      </c>
      <c r="C66" s="235">
        <v>1.6500000000000001E-2</v>
      </c>
      <c r="D66" s="276" t="s">
        <v>413</v>
      </c>
      <c r="E66" s="277"/>
      <c r="F66" s="277"/>
      <c r="M66" s="171"/>
    </row>
    <row r="67" spans="2:20">
      <c r="B67" s="180" t="s">
        <v>414</v>
      </c>
      <c r="C67" s="235">
        <v>7.5999999999999998E-2</v>
      </c>
      <c r="D67" s="276" t="s">
        <v>413</v>
      </c>
      <c r="E67" s="277"/>
      <c r="F67" s="277"/>
      <c r="M67" s="171"/>
    </row>
    <row r="68" spans="2:20">
      <c r="B68" s="653" t="s">
        <v>415</v>
      </c>
      <c r="C68" s="654"/>
      <c r="D68" s="278"/>
      <c r="M68" s="171"/>
    </row>
    <row r="69" spans="2:20">
      <c r="B69" s="180" t="s">
        <v>416</v>
      </c>
      <c r="C69" s="279">
        <v>0.05</v>
      </c>
      <c r="D69" s="280"/>
      <c r="E69" s="170"/>
      <c r="M69" s="171"/>
    </row>
    <row r="70" spans="2:20">
      <c r="B70" s="180" t="s">
        <v>417</v>
      </c>
      <c r="C70" s="281">
        <v>3.5000000000000003E-2</v>
      </c>
      <c r="E70" s="282"/>
      <c r="F70" s="282"/>
      <c r="G70" s="282"/>
      <c r="H70" s="282"/>
      <c r="I70" s="282"/>
      <c r="J70" s="282"/>
      <c r="K70" s="282"/>
    </row>
    <row r="71" spans="2:20">
      <c r="B71" s="180" t="s">
        <v>418</v>
      </c>
      <c r="C71" s="281">
        <v>0.04</v>
      </c>
      <c r="E71" s="282"/>
      <c r="F71" s="282"/>
      <c r="G71" s="282"/>
      <c r="H71" s="282"/>
      <c r="I71" s="282"/>
      <c r="J71" s="282"/>
      <c r="K71" s="282"/>
    </row>
    <row r="72" spans="2:20">
      <c r="B72" s="250"/>
      <c r="C72" s="283"/>
      <c r="E72" s="282"/>
      <c r="F72" s="282"/>
      <c r="G72" s="282"/>
      <c r="H72" s="282"/>
      <c r="I72" s="282"/>
      <c r="J72" s="282"/>
      <c r="K72" s="282"/>
    </row>
    <row r="73" spans="2:20">
      <c r="B73" s="250"/>
      <c r="C73" s="283"/>
      <c r="E73" s="282"/>
      <c r="F73" s="282"/>
      <c r="G73" s="282"/>
      <c r="H73" s="282"/>
      <c r="I73" s="282"/>
      <c r="J73" s="282"/>
      <c r="K73" s="282"/>
    </row>
    <row r="74" spans="2:20">
      <c r="B74" s="170"/>
    </row>
    <row r="75" spans="2:20" ht="15" customHeight="1">
      <c r="B75" s="284" t="s">
        <v>419</v>
      </c>
      <c r="C75" s="285" t="s">
        <v>87</v>
      </c>
    </row>
    <row r="76" spans="2:20" ht="15" customHeight="1">
      <c r="B76" s="286" t="s">
        <v>88</v>
      </c>
      <c r="C76" s="287">
        <v>0.2</v>
      </c>
    </row>
    <row r="77" spans="2:20" ht="15" customHeight="1">
      <c r="B77" s="288" t="s">
        <v>89</v>
      </c>
      <c r="C77" s="289">
        <v>1.4999999999999999E-2</v>
      </c>
      <c r="D77" s="290"/>
    </row>
    <row r="78" spans="2:20" ht="15" customHeight="1">
      <c r="B78" s="288" t="s">
        <v>90</v>
      </c>
      <c r="C78" s="289">
        <v>0.01</v>
      </c>
      <c r="D78" s="290"/>
      <c r="F78" s="291"/>
      <c r="G78" s="292"/>
    </row>
    <row r="79" spans="2:20" ht="15" customHeight="1">
      <c r="B79" s="286" t="s">
        <v>91</v>
      </c>
      <c r="C79" s="287">
        <v>2E-3</v>
      </c>
    </row>
    <row r="80" spans="2:20" ht="15" customHeight="1">
      <c r="B80" s="286" t="s">
        <v>92</v>
      </c>
      <c r="C80" s="287">
        <v>2.5000000000000001E-2</v>
      </c>
    </row>
    <row r="81" spans="2:13" ht="15" customHeight="1">
      <c r="B81" s="286" t="s">
        <v>93</v>
      </c>
      <c r="C81" s="287">
        <v>0.08</v>
      </c>
    </row>
    <row r="82" spans="2:13" ht="15" customHeight="1">
      <c r="B82" s="286" t="s">
        <v>420</v>
      </c>
      <c r="C82" s="293">
        <v>0.03</v>
      </c>
      <c r="E82" s="294"/>
    </row>
    <row r="83" spans="2:13" ht="15" customHeight="1">
      <c r="B83" s="286" t="s">
        <v>95</v>
      </c>
      <c r="C83" s="287">
        <v>6.0000000000000001E-3</v>
      </c>
    </row>
    <row r="84" spans="2:13" ht="15" customHeight="1">
      <c r="B84" s="284" t="s">
        <v>421</v>
      </c>
      <c r="C84" s="295">
        <f>SUM(C76:C83)</f>
        <v>0.36799999999999999</v>
      </c>
      <c r="D84" s="296" t="s">
        <v>422</v>
      </c>
      <c r="E84" s="297"/>
      <c r="F84" s="298"/>
      <c r="G84" s="299"/>
      <c r="H84" s="300"/>
      <c r="I84" s="237"/>
    </row>
    <row r="85" spans="2:13" ht="15" customHeight="1">
      <c r="B85" s="286" t="s">
        <v>101</v>
      </c>
      <c r="C85" s="235">
        <f>((1/12)*100%)+(((1/12)*100%)*C84)</f>
        <v>0.114</v>
      </c>
      <c r="D85" s="301" t="s">
        <v>423</v>
      </c>
      <c r="E85" s="302"/>
      <c r="F85" s="303"/>
      <c r="G85" s="304"/>
      <c r="H85" s="305"/>
      <c r="I85" s="237"/>
    </row>
    <row r="86" spans="2:13" ht="15" customHeight="1">
      <c r="B86" s="286" t="s">
        <v>102</v>
      </c>
      <c r="C86" s="235">
        <f>(((1/3)/12)*100%)+((((1/3)/12)*100%)*C84)</f>
        <v>3.7999999999999999E-2</v>
      </c>
      <c r="D86" s="306" t="s">
        <v>424</v>
      </c>
      <c r="E86" s="307"/>
      <c r="F86" s="298"/>
      <c r="G86" s="299"/>
      <c r="H86" s="305"/>
      <c r="I86" s="237"/>
    </row>
    <row r="87" spans="2:13" ht="15" customHeight="1">
      <c r="B87" s="286" t="s">
        <v>108</v>
      </c>
      <c r="C87" s="235">
        <f>((((4*(C86+C94))+(4*C85))/12)*2%)+(((((4*(C86+C94))+(4*C85))/12)*2%)*C84)</f>
        <v>2.3999999999999998E-3</v>
      </c>
      <c r="D87" s="308" t="s">
        <v>425</v>
      </c>
      <c r="E87" s="307"/>
      <c r="F87" s="298"/>
      <c r="G87" s="299"/>
      <c r="H87" s="300"/>
      <c r="I87" s="298"/>
      <c r="J87" s="237"/>
      <c r="K87" s="237"/>
      <c r="L87" s="237"/>
      <c r="M87" s="237"/>
    </row>
    <row r="88" spans="2:13" ht="15" customHeight="1">
      <c r="B88" s="286" t="s">
        <v>113</v>
      </c>
      <c r="C88" s="235">
        <f>((1/12)*5%)</f>
        <v>4.1999999999999997E-3</v>
      </c>
      <c r="D88" s="309" t="s">
        <v>426</v>
      </c>
      <c r="E88" s="310"/>
      <c r="F88" s="303"/>
      <c r="G88" s="311"/>
      <c r="H88" s="312"/>
      <c r="I88" s="237"/>
    </row>
    <row r="89" spans="2:13" ht="15" customHeight="1">
      <c r="B89" s="286" t="s">
        <v>427</v>
      </c>
      <c r="C89" s="235">
        <f>C88*C81</f>
        <v>2.9999999999999997E-4</v>
      </c>
      <c r="D89" s="308" t="s">
        <v>428</v>
      </c>
      <c r="E89" s="307"/>
      <c r="F89" s="298"/>
      <c r="G89" s="304"/>
      <c r="H89" s="305"/>
      <c r="I89" s="237"/>
    </row>
    <row r="90" spans="2:13" ht="15" customHeight="1">
      <c r="B90" s="286" t="s">
        <v>429</v>
      </c>
      <c r="C90" s="235">
        <f>(C81*40%)*C88</f>
        <v>1E-4</v>
      </c>
      <c r="D90" s="308" t="s">
        <v>430</v>
      </c>
      <c r="E90" s="307"/>
      <c r="F90" s="298"/>
      <c r="G90" s="304"/>
      <c r="H90" s="305"/>
      <c r="I90" s="237"/>
    </row>
    <row r="91" spans="2:13" ht="15" customHeight="1">
      <c r="B91" s="286" t="s">
        <v>431</v>
      </c>
      <c r="C91" s="235">
        <f>((7/30)/12)</f>
        <v>1.9400000000000001E-2</v>
      </c>
      <c r="D91" s="309" t="s">
        <v>432</v>
      </c>
      <c r="E91" s="310"/>
      <c r="F91" s="303"/>
      <c r="G91" s="304"/>
      <c r="H91" s="305"/>
      <c r="I91" s="237"/>
    </row>
    <row r="92" spans="2:13" ht="15" customHeight="1">
      <c r="B92" s="286" t="s">
        <v>433</v>
      </c>
      <c r="C92" s="235">
        <f>C91*C84</f>
        <v>7.1000000000000004E-3</v>
      </c>
      <c r="D92" s="308" t="s">
        <v>434</v>
      </c>
      <c r="E92" s="307"/>
      <c r="F92" s="298"/>
      <c r="G92" s="299"/>
      <c r="H92" s="305"/>
      <c r="I92" s="237"/>
    </row>
    <row r="93" spans="2:13" ht="15" customHeight="1">
      <c r="B93" s="288" t="s">
        <v>435</v>
      </c>
      <c r="C93" s="313">
        <f>(C81*40%)*1.94%</f>
        <v>5.9999999999999995E-4</v>
      </c>
      <c r="D93" s="309" t="s">
        <v>436</v>
      </c>
      <c r="E93" s="310"/>
      <c r="F93" s="303"/>
      <c r="G93" s="314"/>
      <c r="H93" s="305"/>
      <c r="I93" s="237"/>
    </row>
    <row r="94" spans="2:13" ht="15" customHeight="1">
      <c r="B94" s="286" t="s">
        <v>122</v>
      </c>
      <c r="C94" s="235">
        <f>((1/12)*100%)+((1/12)*100%)*C84</f>
        <v>0.114</v>
      </c>
      <c r="D94" s="308" t="s">
        <v>437</v>
      </c>
      <c r="E94" s="307"/>
      <c r="F94" s="298"/>
      <c r="G94" s="299"/>
      <c r="H94" s="300"/>
      <c r="I94" s="298"/>
      <c r="J94" s="237"/>
      <c r="K94" s="237"/>
      <c r="L94" s="237"/>
    </row>
    <row r="95" spans="2:13" ht="15" customHeight="1">
      <c r="B95" s="286" t="s">
        <v>123</v>
      </c>
      <c r="C95" s="235">
        <f>((5/30)/12)+(((5/30)/12)*C84)</f>
        <v>1.9E-2</v>
      </c>
      <c r="D95" s="309" t="s">
        <v>438</v>
      </c>
      <c r="E95" s="310"/>
      <c r="F95" s="237"/>
      <c r="G95" s="304"/>
      <c r="H95" s="305"/>
      <c r="I95" s="237"/>
    </row>
    <row r="96" spans="2:13" ht="15" customHeight="1">
      <c r="B96" s="286" t="s">
        <v>124</v>
      </c>
      <c r="C96" s="235">
        <f>(((5/30)/12)*1.5%)+((((5/30)/12)*1.5%)*C84)</f>
        <v>2.9999999999999997E-4</v>
      </c>
      <c r="D96" s="308" t="s">
        <v>439</v>
      </c>
      <c r="E96" s="307"/>
      <c r="F96" s="298"/>
      <c r="G96" s="299"/>
      <c r="H96" s="305"/>
      <c r="I96" s="237"/>
    </row>
    <row r="97" spans="2:12" ht="15" customHeight="1">
      <c r="B97" s="286" t="s">
        <v>125</v>
      </c>
      <c r="C97" s="235">
        <f>((3/30)/12)+(((3/30)/12)*C84)</f>
        <v>1.14E-2</v>
      </c>
      <c r="D97" s="308" t="s">
        <v>440</v>
      </c>
      <c r="E97" s="307"/>
      <c r="F97" s="298"/>
      <c r="G97" s="299"/>
      <c r="H97" s="300"/>
      <c r="I97" s="237"/>
    </row>
    <row r="98" spans="2:12" ht="15" customHeight="1">
      <c r="B98" s="286" t="s">
        <v>441</v>
      </c>
      <c r="C98" s="235">
        <f>(((15/30)/12)*8%)+((((15/30)/12)*8%)*C84)</f>
        <v>4.5999999999999999E-3</v>
      </c>
      <c r="D98" s="309" t="s">
        <v>442</v>
      </c>
      <c r="E98" s="310"/>
      <c r="F98" s="303"/>
      <c r="G98" s="314"/>
      <c r="H98" s="305"/>
      <c r="I98" s="237"/>
    </row>
    <row r="99" spans="2:12" ht="15" customHeight="1">
      <c r="B99" s="286" t="s">
        <v>443</v>
      </c>
      <c r="C99" s="235">
        <f>(1/12)*1%</f>
        <v>8.0000000000000004E-4</v>
      </c>
      <c r="D99" s="308" t="s">
        <v>444</v>
      </c>
      <c r="E99" s="298"/>
      <c r="F99" s="298"/>
      <c r="G99" s="299"/>
      <c r="H99" s="300"/>
      <c r="I99" s="298"/>
      <c r="J99" s="237"/>
      <c r="K99" s="237"/>
      <c r="L99" s="237"/>
    </row>
    <row r="100" spans="2:12" ht="15" customHeight="1">
      <c r="B100" s="284" t="s">
        <v>445</v>
      </c>
      <c r="C100" s="315">
        <f>SUM(C85:C99)</f>
        <v>0.3362</v>
      </c>
    </row>
    <row r="101" spans="2:12" ht="15" customHeight="1">
      <c r="B101" s="316" t="s">
        <v>446</v>
      </c>
      <c r="C101" s="317">
        <f>C84+C100</f>
        <v>0.70420000000000005</v>
      </c>
    </row>
    <row r="102" spans="2:12" ht="15" customHeight="1">
      <c r="E102" s="318"/>
    </row>
    <row r="103" spans="2:12" ht="15" customHeight="1"/>
    <row r="104" spans="2:12" ht="15" customHeight="1"/>
    <row r="105" spans="2:12" ht="15" customHeight="1"/>
    <row r="106" spans="2:12" ht="15" customHeight="1"/>
    <row r="107" spans="2:12" ht="15" customHeight="1"/>
    <row r="108" spans="2:12" ht="15" customHeight="1"/>
    <row r="109" spans="2:12" ht="15" customHeight="1"/>
    <row r="110" spans="2:12" ht="15" customHeight="1"/>
    <row r="111" spans="2:12" ht="15" customHeight="1"/>
    <row r="112" spans="2: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sheetData>
  <mergeCells count="19">
    <mergeCell ref="V1:AA1"/>
    <mergeCell ref="E2:F2"/>
    <mergeCell ref="E3:F3"/>
    <mergeCell ref="D9:E9"/>
    <mergeCell ref="D10:E10"/>
    <mergeCell ref="D11:E11"/>
    <mergeCell ref="D1:F1"/>
    <mergeCell ref="H1:M1"/>
    <mergeCell ref="O1:T1"/>
    <mergeCell ref="B13:E13"/>
    <mergeCell ref="D14:E14"/>
    <mergeCell ref="D15:E15"/>
    <mergeCell ref="D16:E16"/>
    <mergeCell ref="B68:C68"/>
    <mergeCell ref="B1:B2"/>
    <mergeCell ref="C1:C2"/>
    <mergeCell ref="E4:F4"/>
    <mergeCell ref="B7:E7"/>
    <mergeCell ref="D8:E8"/>
  </mergeCells>
  <printOptions horizontalCentered="1"/>
  <pageMargins left="0.78740157480314965" right="0.78740157480314965" top="0.98425196850393715" bottom="0.98425196850393715" header="0.51181102362204722" footer="0.51181102362204722"/>
  <pageSetup paperSize="9" scale="16" orientation="landscape" horizontalDpi="4294967293" verticalDpi="4294967293"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2"/>
  <sheetViews>
    <sheetView showGridLines="0" zoomScale="85" workbookViewId="0">
      <selection activeCell="N161" sqref="N161:P161"/>
    </sheetView>
  </sheetViews>
  <sheetFormatPr defaultRowHeight="13.8"/>
  <cols>
    <col min="14" max="14" width="9.109375" style="144" customWidth="1"/>
    <col min="15" max="16" width="9.109375" style="145" customWidth="1"/>
  </cols>
  <sheetData>
    <row r="1" spans="1:16" ht="15.6">
      <c r="A1" s="2"/>
      <c r="B1" s="3"/>
      <c r="C1" s="3"/>
      <c r="D1" s="3"/>
      <c r="E1" s="3"/>
      <c r="F1" s="3"/>
      <c r="G1" s="3"/>
      <c r="H1" s="3"/>
      <c r="I1" s="3"/>
      <c r="J1" s="3"/>
      <c r="K1" s="3"/>
      <c r="L1" s="3"/>
      <c r="M1" s="3"/>
      <c r="N1" s="146"/>
      <c r="O1" s="147"/>
      <c r="P1" s="147"/>
    </row>
    <row r="2" spans="1:16" ht="15.6">
      <c r="A2" s="618" t="s">
        <v>447</v>
      </c>
      <c r="B2" s="619"/>
      <c r="C2" s="619"/>
      <c r="D2" s="619"/>
      <c r="E2" s="619"/>
      <c r="F2" s="619"/>
      <c r="G2" s="619"/>
      <c r="H2" s="619"/>
      <c r="I2" s="619"/>
      <c r="J2" s="619"/>
      <c r="K2" s="619"/>
      <c r="L2" s="619"/>
      <c r="M2" s="619"/>
      <c r="N2" s="690"/>
      <c r="O2" s="690"/>
      <c r="P2" s="691"/>
    </row>
    <row r="3" spans="1:16" ht="15.6">
      <c r="A3" s="2"/>
      <c r="B3" s="3"/>
      <c r="C3" s="3"/>
      <c r="D3" s="3"/>
      <c r="E3" s="3"/>
      <c r="F3" s="3"/>
      <c r="G3" s="3"/>
      <c r="H3" s="3"/>
      <c r="I3" s="3"/>
      <c r="J3" s="3"/>
      <c r="K3" s="3"/>
      <c r="L3" s="3"/>
      <c r="M3" s="3"/>
      <c r="N3" s="150"/>
      <c r="O3" s="148"/>
      <c r="P3" s="149"/>
    </row>
    <row r="4" spans="1:16" ht="16.2" customHeight="1">
      <c r="A4" s="680" t="s">
        <v>448</v>
      </c>
      <c r="B4" s="681"/>
      <c r="C4" s="759"/>
      <c r="D4" s="760" t="s">
        <v>310</v>
      </c>
      <c r="E4" s="761"/>
      <c r="F4" s="761"/>
      <c r="G4" s="761"/>
      <c r="H4" s="761"/>
      <c r="I4" s="761"/>
      <c r="J4" s="761"/>
      <c r="K4" s="761"/>
      <c r="L4" s="761"/>
      <c r="M4" s="761"/>
      <c r="N4" s="735"/>
      <c r="O4" s="735"/>
      <c r="P4" s="736"/>
    </row>
    <row r="5" spans="1:16" ht="16.2" customHeight="1">
      <c r="A5" s="680" t="s">
        <v>449</v>
      </c>
      <c r="B5" s="681"/>
      <c r="C5" s="681"/>
      <c r="D5" s="693" t="s">
        <v>450</v>
      </c>
      <c r="E5" s="762"/>
      <c r="F5" s="762"/>
      <c r="G5" s="762"/>
      <c r="H5" s="762"/>
      <c r="I5" s="762"/>
      <c r="J5" s="762"/>
      <c r="K5" s="762"/>
      <c r="L5" s="762"/>
      <c r="M5" s="762"/>
      <c r="N5" s="735"/>
      <c r="O5" s="735"/>
      <c r="P5" s="736"/>
    </row>
    <row r="6" spans="1:16" ht="15.6">
      <c r="A6" s="4"/>
      <c r="B6" s="3"/>
      <c r="C6" s="3"/>
      <c r="D6" s="3"/>
      <c r="E6" s="3"/>
      <c r="F6" s="3"/>
      <c r="G6" s="3"/>
      <c r="H6" s="3"/>
      <c r="I6" s="3"/>
      <c r="J6" s="3"/>
      <c r="K6" s="3"/>
      <c r="L6" s="3"/>
      <c r="M6" s="3"/>
      <c r="N6" s="151"/>
      <c r="O6" s="152"/>
      <c r="P6" s="152"/>
    </row>
    <row r="7" spans="1:16" ht="15.6">
      <c r="A7" s="763" t="s">
        <v>451</v>
      </c>
      <c r="B7" s="763"/>
      <c r="C7" s="763"/>
      <c r="D7" s="763"/>
      <c r="E7" s="763"/>
      <c r="F7" s="763"/>
      <c r="G7" s="763"/>
      <c r="H7" s="763"/>
      <c r="I7" s="763"/>
      <c r="J7" s="763"/>
      <c r="K7" s="763"/>
      <c r="L7" s="763"/>
      <c r="M7" s="763"/>
      <c r="N7" s="764"/>
      <c r="O7" s="764"/>
      <c r="P7" s="764"/>
    </row>
    <row r="8" spans="1:16" ht="15.6">
      <c r="A8" s="3"/>
      <c r="B8" s="3"/>
      <c r="C8" s="3"/>
      <c r="D8" s="3"/>
      <c r="E8" s="3"/>
      <c r="F8" s="3"/>
      <c r="G8" s="3"/>
      <c r="H8" s="3"/>
      <c r="I8" s="3"/>
      <c r="J8" s="3"/>
      <c r="K8" s="3"/>
      <c r="L8" s="3"/>
      <c r="M8" s="3"/>
      <c r="N8" s="153"/>
      <c r="O8" s="154"/>
      <c r="P8" s="154"/>
    </row>
    <row r="9" spans="1:16" ht="15.6">
      <c r="A9" s="757" t="s">
        <v>452</v>
      </c>
      <c r="B9" s="757"/>
      <c r="C9" s="757"/>
      <c r="D9" s="757"/>
      <c r="E9" s="757"/>
      <c r="F9" s="757"/>
      <c r="G9" s="757"/>
      <c r="H9" s="757"/>
      <c r="I9" s="757"/>
      <c r="J9" s="757"/>
      <c r="K9" s="757"/>
      <c r="L9" s="757"/>
      <c r="M9" s="757"/>
      <c r="N9" s="758"/>
      <c r="O9" s="758"/>
      <c r="P9" s="758"/>
    </row>
    <row r="10" spans="1:16" ht="15.6">
      <c r="A10" s="5"/>
      <c r="B10" s="3"/>
      <c r="C10" s="3"/>
      <c r="D10" s="3"/>
      <c r="E10" s="3"/>
      <c r="F10" s="3"/>
      <c r="G10" s="3"/>
      <c r="H10" s="3"/>
      <c r="I10" s="3"/>
      <c r="J10" s="3"/>
      <c r="K10" s="3"/>
      <c r="L10" s="3"/>
      <c r="M10" s="3"/>
      <c r="N10" s="153"/>
      <c r="O10" s="154"/>
      <c r="P10" s="154"/>
    </row>
    <row r="11" spans="1:16" ht="15.6">
      <c r="A11" s="6" t="s">
        <v>25</v>
      </c>
      <c r="B11" s="680" t="s">
        <v>453</v>
      </c>
      <c r="C11" s="681"/>
      <c r="D11" s="681"/>
      <c r="E11" s="681"/>
      <c r="F11" s="681"/>
      <c r="G11" s="681"/>
      <c r="H11" s="681"/>
      <c r="I11" s="681"/>
      <c r="J11" s="681"/>
      <c r="K11" s="681"/>
      <c r="L11" s="681"/>
      <c r="M11" s="682"/>
      <c r="N11" s="734"/>
      <c r="O11" s="735"/>
      <c r="P11" s="736"/>
    </row>
    <row r="12" spans="1:16" ht="15.6">
      <c r="A12" s="7" t="s">
        <v>27</v>
      </c>
      <c r="B12" s="680" t="s">
        <v>454</v>
      </c>
      <c r="C12" s="681"/>
      <c r="D12" s="681"/>
      <c r="E12" s="681"/>
      <c r="F12" s="681"/>
      <c r="G12" s="681"/>
      <c r="H12" s="681"/>
      <c r="I12" s="681"/>
      <c r="J12" s="681"/>
      <c r="K12" s="681"/>
      <c r="L12" s="681"/>
      <c r="M12" s="682"/>
      <c r="N12" s="748" t="str">
        <f>'BASE DE CÁLCULO'!B23</f>
        <v>Vitória/ES</v>
      </c>
      <c r="O12" s="749"/>
      <c r="P12" s="750"/>
    </row>
    <row r="13" spans="1:16" ht="15.6">
      <c r="A13" s="7" t="s">
        <v>30</v>
      </c>
      <c r="B13" s="680" t="s">
        <v>455</v>
      </c>
      <c r="C13" s="681"/>
      <c r="D13" s="681"/>
      <c r="E13" s="681"/>
      <c r="F13" s="681"/>
      <c r="G13" s="681"/>
      <c r="H13" s="681"/>
      <c r="I13" s="681"/>
      <c r="J13" s="681"/>
      <c r="K13" s="681"/>
      <c r="L13" s="681"/>
      <c r="M13" s="682"/>
      <c r="N13" s="748" t="str">
        <f>'BASE DE CÁLCULO'!D23</f>
        <v>SINTRAHOTEIS 2022</v>
      </c>
      <c r="O13" s="749"/>
      <c r="P13" s="750"/>
    </row>
    <row r="14" spans="1:16" ht="15.6">
      <c r="A14" s="7" t="s">
        <v>32</v>
      </c>
      <c r="B14" s="680" t="s">
        <v>456</v>
      </c>
      <c r="C14" s="681"/>
      <c r="D14" s="681"/>
      <c r="E14" s="681"/>
      <c r="F14" s="681"/>
      <c r="G14" s="681"/>
      <c r="H14" s="681"/>
      <c r="I14" s="681"/>
      <c r="J14" s="681"/>
      <c r="K14" s="681"/>
      <c r="L14" s="681"/>
      <c r="M14" s="682"/>
      <c r="N14" s="748">
        <v>12</v>
      </c>
      <c r="O14" s="749"/>
      <c r="P14" s="750"/>
    </row>
    <row r="15" spans="1:16" ht="15.6">
      <c r="A15" s="8"/>
      <c r="B15" s="3"/>
      <c r="C15" s="3"/>
      <c r="D15" s="3"/>
      <c r="E15" s="3"/>
      <c r="F15" s="3"/>
      <c r="G15" s="3"/>
      <c r="H15" s="3"/>
      <c r="I15" s="3"/>
      <c r="J15" s="3"/>
      <c r="K15" s="3"/>
      <c r="L15" s="3"/>
      <c r="M15" s="3"/>
      <c r="N15" s="155"/>
      <c r="O15" s="24"/>
      <c r="P15" s="25"/>
    </row>
    <row r="16" spans="1:16" ht="15.6">
      <c r="A16" s="618" t="s">
        <v>457</v>
      </c>
      <c r="B16" s="619"/>
      <c r="C16" s="619"/>
      <c r="D16" s="619"/>
      <c r="E16" s="619"/>
      <c r="F16" s="619"/>
      <c r="G16" s="619"/>
      <c r="H16" s="619"/>
      <c r="I16" s="619"/>
      <c r="J16" s="619"/>
      <c r="K16" s="619"/>
      <c r="L16" s="619"/>
      <c r="M16" s="619"/>
      <c r="N16" s="690"/>
      <c r="O16" s="690"/>
      <c r="P16" s="691"/>
    </row>
    <row r="17" spans="1:16" ht="13.2">
      <c r="A17" s="627" t="s">
        <v>35</v>
      </c>
      <c r="B17" s="628"/>
      <c r="C17" s="628"/>
      <c r="D17" s="629"/>
      <c r="E17" s="627" t="s">
        <v>36</v>
      </c>
      <c r="F17" s="628"/>
      <c r="G17" s="628"/>
      <c r="H17" s="628"/>
      <c r="I17" s="628"/>
      <c r="J17" s="628"/>
      <c r="K17" s="628"/>
      <c r="L17" s="628"/>
      <c r="M17" s="629"/>
      <c r="N17" s="671" t="s">
        <v>458</v>
      </c>
      <c r="O17" s="672"/>
      <c r="P17" s="673"/>
    </row>
    <row r="18" spans="1:16" ht="13.2">
      <c r="A18" s="668"/>
      <c r="B18" s="669"/>
      <c r="C18" s="669"/>
      <c r="D18" s="670"/>
      <c r="E18" s="668"/>
      <c r="F18" s="669"/>
      <c r="G18" s="669"/>
      <c r="H18" s="669"/>
      <c r="I18" s="669"/>
      <c r="J18" s="669"/>
      <c r="K18" s="669"/>
      <c r="L18" s="669"/>
      <c r="M18" s="670"/>
      <c r="N18" s="674"/>
      <c r="O18" s="675"/>
      <c r="P18" s="676"/>
    </row>
    <row r="19" spans="1:16" ht="13.2">
      <c r="A19" s="630"/>
      <c r="B19" s="631"/>
      <c r="C19" s="631"/>
      <c r="D19" s="632"/>
      <c r="E19" s="630"/>
      <c r="F19" s="631"/>
      <c r="G19" s="631"/>
      <c r="H19" s="631"/>
      <c r="I19" s="631"/>
      <c r="J19" s="631"/>
      <c r="K19" s="631"/>
      <c r="L19" s="631"/>
      <c r="M19" s="632"/>
      <c r="N19" s="677"/>
      <c r="O19" s="678"/>
      <c r="P19" s="679"/>
    </row>
    <row r="20" spans="1:16" ht="15.6">
      <c r="A20" s="624" t="str">
        <f>'BASE DE CÁLCULO'!C23</f>
        <v>Armazenista</v>
      </c>
      <c r="B20" s="625"/>
      <c r="C20" s="625"/>
      <c r="D20" s="626"/>
      <c r="E20" s="751" t="s">
        <v>459</v>
      </c>
      <c r="F20" s="752"/>
      <c r="G20" s="752"/>
      <c r="H20" s="752"/>
      <c r="I20" s="752"/>
      <c r="J20" s="752"/>
      <c r="K20" s="752"/>
      <c r="L20" s="752"/>
      <c r="M20" s="753"/>
      <c r="N20" s="754">
        <f>'BASE DE CÁLCULO'!F23</f>
        <v>2</v>
      </c>
      <c r="O20" s="755"/>
      <c r="P20" s="756"/>
    </row>
    <row r="21" spans="1:16" ht="15.6">
      <c r="A21" s="739"/>
      <c r="B21" s="740"/>
      <c r="C21" s="740"/>
      <c r="D21" s="741"/>
      <c r="E21" s="742"/>
      <c r="F21" s="743"/>
      <c r="G21" s="743"/>
      <c r="H21" s="743"/>
      <c r="I21" s="743"/>
      <c r="J21" s="743"/>
      <c r="K21" s="743"/>
      <c r="L21" s="743"/>
      <c r="M21" s="744"/>
      <c r="N21" s="745"/>
      <c r="O21" s="746"/>
      <c r="P21" s="747"/>
    </row>
    <row r="22" spans="1:16" ht="15.6">
      <c r="A22" s="739"/>
      <c r="B22" s="740"/>
      <c r="C22" s="740"/>
      <c r="D22" s="741"/>
      <c r="E22" s="742"/>
      <c r="F22" s="743"/>
      <c r="G22" s="743"/>
      <c r="H22" s="743"/>
      <c r="I22" s="743"/>
      <c r="J22" s="743"/>
      <c r="K22" s="743"/>
      <c r="L22" s="743"/>
      <c r="M22" s="744"/>
      <c r="N22" s="745"/>
      <c r="O22" s="746"/>
      <c r="P22" s="747"/>
    </row>
    <row r="23" spans="1:16" ht="13.2">
      <c r="A23" s="688" t="s">
        <v>460</v>
      </c>
      <c r="B23" s="688"/>
      <c r="C23" s="688"/>
      <c r="D23" s="688"/>
      <c r="E23" s="688"/>
      <c r="F23" s="688"/>
      <c r="G23" s="688"/>
      <c r="H23" s="688"/>
      <c r="I23" s="688"/>
      <c r="J23" s="688"/>
      <c r="K23" s="688"/>
      <c r="L23" s="688"/>
      <c r="M23" s="688"/>
      <c r="N23" s="689"/>
      <c r="O23" s="689"/>
      <c r="P23" s="689"/>
    </row>
    <row r="24" spans="1:16" ht="15.6">
      <c r="A24" s="3"/>
      <c r="B24" s="3"/>
      <c r="C24" s="3"/>
      <c r="D24" s="3"/>
      <c r="E24" s="3"/>
      <c r="F24" s="3"/>
      <c r="G24" s="3"/>
      <c r="H24" s="3"/>
      <c r="I24" s="3"/>
      <c r="J24" s="3"/>
      <c r="K24" s="3"/>
      <c r="L24" s="3"/>
      <c r="M24" s="3"/>
      <c r="N24" s="153"/>
      <c r="O24" s="154"/>
      <c r="P24" s="154"/>
    </row>
    <row r="25" spans="1:16" ht="15.6">
      <c r="A25" s="615" t="s">
        <v>461</v>
      </c>
      <c r="B25" s="616"/>
      <c r="C25" s="616"/>
      <c r="D25" s="616"/>
      <c r="E25" s="616"/>
      <c r="F25" s="616"/>
      <c r="G25" s="616"/>
      <c r="H25" s="616"/>
      <c r="I25" s="616"/>
      <c r="J25" s="616"/>
      <c r="K25" s="616"/>
      <c r="L25" s="616"/>
      <c r="M25" s="616"/>
      <c r="N25" s="704"/>
      <c r="O25" s="704"/>
      <c r="P25" s="705"/>
    </row>
    <row r="26" spans="1:16" ht="14.25" customHeight="1">
      <c r="A26" s="737"/>
      <c r="B26" s="737"/>
      <c r="C26" s="737"/>
      <c r="D26" s="737"/>
      <c r="E26" s="737"/>
      <c r="F26" s="737"/>
      <c r="G26" s="737"/>
      <c r="H26" s="737"/>
      <c r="I26" s="737"/>
      <c r="J26" s="737"/>
      <c r="K26" s="737"/>
      <c r="L26" s="737"/>
      <c r="M26" s="737"/>
      <c r="N26" s="737"/>
      <c r="O26" s="737"/>
      <c r="P26" s="738"/>
    </row>
    <row r="27" spans="1:16" ht="15.6">
      <c r="A27" s="615" t="s">
        <v>462</v>
      </c>
      <c r="B27" s="616"/>
      <c r="C27" s="616"/>
      <c r="D27" s="616"/>
      <c r="E27" s="616"/>
      <c r="F27" s="616"/>
      <c r="G27" s="616"/>
      <c r="H27" s="616"/>
      <c r="I27" s="616"/>
      <c r="J27" s="616"/>
      <c r="K27" s="616"/>
      <c r="L27" s="616"/>
      <c r="M27" s="616"/>
      <c r="N27" s="704"/>
      <c r="O27" s="704"/>
      <c r="P27" s="705"/>
    </row>
    <row r="28" spans="1:16" ht="15.6">
      <c r="A28" s="615" t="s">
        <v>463</v>
      </c>
      <c r="B28" s="616"/>
      <c r="C28" s="616"/>
      <c r="D28" s="616"/>
      <c r="E28" s="616"/>
      <c r="F28" s="616"/>
      <c r="G28" s="616"/>
      <c r="H28" s="616"/>
      <c r="I28" s="616"/>
      <c r="J28" s="616"/>
      <c r="K28" s="616"/>
      <c r="L28" s="616"/>
      <c r="M28" s="616"/>
      <c r="N28" s="704"/>
      <c r="O28" s="704"/>
      <c r="P28" s="705"/>
    </row>
    <row r="29" spans="1:16" ht="15.6">
      <c r="A29" s="624" t="s">
        <v>464</v>
      </c>
      <c r="B29" s="625"/>
      <c r="C29" s="625"/>
      <c r="D29" s="625"/>
      <c r="E29" s="625"/>
      <c r="F29" s="625"/>
      <c r="G29" s="625"/>
      <c r="H29" s="625"/>
      <c r="I29" s="625"/>
      <c r="J29" s="625"/>
      <c r="K29" s="625"/>
      <c r="L29" s="625"/>
      <c r="M29" s="625"/>
      <c r="N29" s="735"/>
      <c r="O29" s="735"/>
      <c r="P29" s="736"/>
    </row>
    <row r="30" spans="1:16" ht="15.6">
      <c r="A30" s="7">
        <v>1</v>
      </c>
      <c r="B30" s="680" t="s">
        <v>465</v>
      </c>
      <c r="C30" s="681"/>
      <c r="D30" s="681"/>
      <c r="E30" s="681"/>
      <c r="F30" s="681"/>
      <c r="G30" s="681"/>
      <c r="H30" s="681"/>
      <c r="I30" s="681"/>
      <c r="J30" s="681"/>
      <c r="K30" s="681"/>
      <c r="L30" s="681"/>
      <c r="M30" s="681"/>
      <c r="N30" s="734" t="str">
        <f>A20</f>
        <v>Armazenista</v>
      </c>
      <c r="O30" s="735"/>
      <c r="P30" s="736"/>
    </row>
    <row r="31" spans="1:16" ht="15.6">
      <c r="A31" s="7">
        <v>2</v>
      </c>
      <c r="B31" s="680" t="s">
        <v>466</v>
      </c>
      <c r="C31" s="681"/>
      <c r="D31" s="681"/>
      <c r="E31" s="681"/>
      <c r="F31" s="681"/>
      <c r="G31" s="681"/>
      <c r="H31" s="681"/>
      <c r="I31" s="681"/>
      <c r="J31" s="681"/>
      <c r="K31" s="681"/>
      <c r="L31" s="681"/>
      <c r="M31" s="682"/>
      <c r="N31" s="731" t="s">
        <v>467</v>
      </c>
      <c r="O31" s="732"/>
      <c r="P31" s="733"/>
    </row>
    <row r="32" spans="1:16" ht="15.6">
      <c r="A32" s="7">
        <v>3</v>
      </c>
      <c r="B32" s="680" t="s">
        <v>468</v>
      </c>
      <c r="C32" s="681"/>
      <c r="D32" s="681"/>
      <c r="E32" s="681"/>
      <c r="F32" s="681"/>
      <c r="G32" s="681"/>
      <c r="H32" s="681"/>
      <c r="I32" s="681"/>
      <c r="J32" s="681"/>
      <c r="K32" s="681"/>
      <c r="L32" s="681"/>
      <c r="M32" s="682"/>
      <c r="N32" s="714">
        <f>'BASE DE CÁLCULO'!G23</f>
        <v>1567.81</v>
      </c>
      <c r="O32" s="715"/>
      <c r="P32" s="716"/>
    </row>
    <row r="33" spans="1:16" ht="15.6">
      <c r="A33" s="7">
        <v>4</v>
      </c>
      <c r="B33" s="680" t="s">
        <v>469</v>
      </c>
      <c r="C33" s="681"/>
      <c r="D33" s="681"/>
      <c r="E33" s="681"/>
      <c r="F33" s="681"/>
      <c r="G33" s="681"/>
      <c r="H33" s="681"/>
      <c r="I33" s="681"/>
      <c r="J33" s="681"/>
      <c r="K33" s="681"/>
      <c r="L33" s="681"/>
      <c r="M33" s="682"/>
      <c r="N33" s="728" t="str">
        <f>'BASE DE CÁLCULO'!E23</f>
        <v>Cozinha Industrial</v>
      </c>
      <c r="O33" s="729"/>
      <c r="P33" s="730"/>
    </row>
    <row r="34" spans="1:16" ht="15.6">
      <c r="A34" s="7">
        <v>5</v>
      </c>
      <c r="B34" s="680" t="s">
        <v>470</v>
      </c>
      <c r="C34" s="681"/>
      <c r="D34" s="681"/>
      <c r="E34" s="681"/>
      <c r="F34" s="681"/>
      <c r="G34" s="681"/>
      <c r="H34" s="681"/>
      <c r="I34" s="681"/>
      <c r="J34" s="681"/>
      <c r="K34" s="681"/>
      <c r="L34" s="681"/>
      <c r="M34" s="682"/>
      <c r="N34" s="731" t="str">
        <f>'BASE DE CÁLCULO'!C8</f>
        <v>1º de Janeiro</v>
      </c>
      <c r="O34" s="732"/>
      <c r="P34" s="733"/>
    </row>
    <row r="35" spans="1:16" ht="13.2">
      <c r="A35" s="688" t="s">
        <v>471</v>
      </c>
      <c r="B35" s="688"/>
      <c r="C35" s="688"/>
      <c r="D35" s="688"/>
      <c r="E35" s="688"/>
      <c r="F35" s="688"/>
      <c r="G35" s="688"/>
      <c r="H35" s="688"/>
      <c r="I35" s="688"/>
      <c r="J35" s="688"/>
      <c r="K35" s="688"/>
      <c r="L35" s="688"/>
      <c r="M35" s="688"/>
      <c r="N35" s="689"/>
      <c r="O35" s="689"/>
      <c r="P35" s="689"/>
    </row>
    <row r="36" spans="1:16" ht="15.6">
      <c r="A36" s="3"/>
      <c r="B36" s="3"/>
      <c r="C36" s="3"/>
      <c r="D36" s="3"/>
      <c r="E36" s="3"/>
      <c r="F36" s="3"/>
      <c r="G36" s="3"/>
      <c r="H36" s="3"/>
      <c r="I36" s="3"/>
      <c r="J36" s="3"/>
      <c r="K36" s="3"/>
      <c r="L36" s="3"/>
      <c r="M36" s="3"/>
      <c r="N36" s="153"/>
      <c r="O36" s="154"/>
      <c r="P36" s="154"/>
    </row>
    <row r="37" spans="1:16" ht="15.6">
      <c r="A37" s="618" t="s">
        <v>472</v>
      </c>
      <c r="B37" s="619"/>
      <c r="C37" s="619"/>
      <c r="D37" s="619"/>
      <c r="E37" s="619"/>
      <c r="F37" s="619"/>
      <c r="G37" s="619"/>
      <c r="H37" s="619"/>
      <c r="I37" s="619"/>
      <c r="J37" s="619"/>
      <c r="K37" s="619"/>
      <c r="L37" s="619"/>
      <c r="M37" s="619"/>
      <c r="N37" s="690"/>
      <c r="O37" s="690"/>
      <c r="P37" s="691"/>
    </row>
    <row r="38" spans="1:16" ht="15.6">
      <c r="A38" s="13">
        <v>1</v>
      </c>
      <c r="B38" s="668" t="s">
        <v>50</v>
      </c>
      <c r="C38" s="669"/>
      <c r="D38" s="669"/>
      <c r="E38" s="669"/>
      <c r="F38" s="669"/>
      <c r="G38" s="669"/>
      <c r="H38" s="669"/>
      <c r="I38" s="669"/>
      <c r="J38" s="669"/>
      <c r="K38" s="669"/>
      <c r="L38" s="669"/>
      <c r="M38" s="670"/>
      <c r="N38" s="706" t="s">
        <v>51</v>
      </c>
      <c r="O38" s="707"/>
      <c r="P38" s="708"/>
    </row>
    <row r="39" spans="1:16" ht="15.6">
      <c r="A39" s="7" t="s">
        <v>25</v>
      </c>
      <c r="B39" s="680" t="s">
        <v>473</v>
      </c>
      <c r="C39" s="681"/>
      <c r="D39" s="681"/>
      <c r="E39" s="681"/>
      <c r="F39" s="681"/>
      <c r="G39" s="681"/>
      <c r="H39" s="681"/>
      <c r="I39" s="681"/>
      <c r="J39" s="681"/>
      <c r="K39" s="681"/>
      <c r="L39" s="681"/>
      <c r="M39" s="682"/>
      <c r="N39" s="714">
        <f>N32</f>
        <v>1567.81</v>
      </c>
      <c r="O39" s="715"/>
      <c r="P39" s="716"/>
    </row>
    <row r="40" spans="1:16" ht="15.6">
      <c r="A40" s="7" t="s">
        <v>27</v>
      </c>
      <c r="B40" s="680" t="s">
        <v>474</v>
      </c>
      <c r="C40" s="681"/>
      <c r="D40" s="681"/>
      <c r="E40" s="681"/>
      <c r="F40" s="681"/>
      <c r="G40" s="681"/>
      <c r="H40" s="681"/>
      <c r="I40" s="681"/>
      <c r="J40" s="681"/>
      <c r="K40" s="681"/>
      <c r="L40" s="681"/>
      <c r="M40" s="682"/>
      <c r="N40" s="714" t="str">
        <f>'BASE DE CÁLCULO'!I23</f>
        <v>-</v>
      </c>
      <c r="O40" s="715"/>
      <c r="P40" s="716"/>
    </row>
    <row r="41" spans="1:16" ht="15.6">
      <c r="A41" s="7" t="s">
        <v>30</v>
      </c>
      <c r="B41" s="680" t="s">
        <v>475</v>
      </c>
      <c r="C41" s="681"/>
      <c r="D41" s="681"/>
      <c r="E41" s="681"/>
      <c r="F41" s="681"/>
      <c r="G41" s="681"/>
      <c r="H41" s="681"/>
      <c r="I41" s="681"/>
      <c r="J41" s="681"/>
      <c r="K41" s="681"/>
      <c r="L41" s="681"/>
      <c r="M41" s="682"/>
      <c r="N41" s="714" t="str">
        <f>'BASE DE CÁLCULO'!J23</f>
        <v>-</v>
      </c>
      <c r="O41" s="715"/>
      <c r="P41" s="716"/>
    </row>
    <row r="42" spans="1:16" ht="15.6">
      <c r="A42" s="7" t="s">
        <v>32</v>
      </c>
      <c r="B42" s="680" t="s">
        <v>476</v>
      </c>
      <c r="C42" s="681"/>
      <c r="D42" s="681"/>
      <c r="E42" s="681"/>
      <c r="F42" s="681"/>
      <c r="G42" s="681"/>
      <c r="H42" s="681"/>
      <c r="I42" s="681"/>
      <c r="J42" s="681"/>
      <c r="K42" s="681"/>
      <c r="L42" s="681"/>
      <c r="M42" s="682"/>
      <c r="N42" s="714">
        <f>0</f>
        <v>0</v>
      </c>
      <c r="O42" s="715"/>
      <c r="P42" s="716"/>
    </row>
    <row r="43" spans="1:16" ht="15.6">
      <c r="A43" s="7" t="s">
        <v>56</v>
      </c>
      <c r="B43" s="680" t="s">
        <v>477</v>
      </c>
      <c r="C43" s="681"/>
      <c r="D43" s="681"/>
      <c r="E43" s="681"/>
      <c r="F43" s="681"/>
      <c r="G43" s="681"/>
      <c r="H43" s="681"/>
      <c r="I43" s="681"/>
      <c r="J43" s="681"/>
      <c r="K43" s="681"/>
      <c r="L43" s="681"/>
      <c r="M43" s="682"/>
      <c r="N43" s="714">
        <f>0</f>
        <v>0</v>
      </c>
      <c r="O43" s="715"/>
      <c r="P43" s="716"/>
    </row>
    <row r="44" spans="1:16" ht="15.6">
      <c r="A44" s="7" t="s">
        <v>58</v>
      </c>
      <c r="B44" s="680" t="s">
        <v>478</v>
      </c>
      <c r="C44" s="681"/>
      <c r="D44" s="681"/>
      <c r="E44" s="681"/>
      <c r="F44" s="681"/>
      <c r="G44" s="681"/>
      <c r="H44" s="681"/>
      <c r="I44" s="681"/>
      <c r="J44" s="681"/>
      <c r="K44" s="681"/>
      <c r="L44" s="681"/>
      <c r="M44" s="682"/>
      <c r="N44" s="714">
        <f>0</f>
        <v>0</v>
      </c>
      <c r="O44" s="715"/>
      <c r="P44" s="716"/>
    </row>
    <row r="45" spans="1:16" ht="15.6">
      <c r="A45" s="7" t="s">
        <v>60</v>
      </c>
      <c r="B45" s="680" t="s">
        <v>479</v>
      </c>
      <c r="C45" s="681"/>
      <c r="D45" s="681"/>
      <c r="E45" s="681"/>
      <c r="F45" s="681"/>
      <c r="G45" s="681"/>
      <c r="H45" s="681"/>
      <c r="I45" s="681"/>
      <c r="J45" s="681"/>
      <c r="K45" s="681"/>
      <c r="L45" s="681"/>
      <c r="M45" s="682"/>
      <c r="N45" s="714">
        <f>0</f>
        <v>0</v>
      </c>
      <c r="O45" s="715"/>
      <c r="P45" s="716"/>
    </row>
    <row r="46" spans="1:16" ht="15.6">
      <c r="A46" s="633" t="s">
        <v>480</v>
      </c>
      <c r="B46" s="634"/>
      <c r="C46" s="634"/>
      <c r="D46" s="634"/>
      <c r="E46" s="634"/>
      <c r="F46" s="634"/>
      <c r="G46" s="634"/>
      <c r="H46" s="634"/>
      <c r="I46" s="634"/>
      <c r="J46" s="634"/>
      <c r="K46" s="634"/>
      <c r="L46" s="634"/>
      <c r="M46" s="635"/>
      <c r="N46" s="717">
        <f>SUM(N39:P45)</f>
        <v>1567.81</v>
      </c>
      <c r="O46" s="718"/>
      <c r="P46" s="719"/>
    </row>
    <row r="47" spans="1:16" ht="13.2">
      <c r="A47" s="686" t="s">
        <v>481</v>
      </c>
      <c r="B47" s="686"/>
      <c r="C47" s="686"/>
      <c r="D47" s="686"/>
      <c r="E47" s="686"/>
      <c r="F47" s="686"/>
      <c r="G47" s="686"/>
      <c r="H47" s="686"/>
      <c r="I47" s="686"/>
      <c r="J47" s="686"/>
      <c r="K47" s="686"/>
      <c r="L47" s="686"/>
      <c r="M47" s="686"/>
      <c r="N47" s="687"/>
      <c r="O47" s="687"/>
      <c r="P47" s="687"/>
    </row>
    <row r="48" spans="1:16" ht="15.6">
      <c r="A48" s="3"/>
      <c r="B48" s="3"/>
      <c r="C48" s="3"/>
      <c r="D48" s="3"/>
      <c r="E48" s="3"/>
      <c r="F48" s="3"/>
      <c r="G48" s="3"/>
      <c r="H48" s="3"/>
      <c r="I48" s="3"/>
      <c r="J48" s="3"/>
      <c r="K48" s="3"/>
      <c r="L48" s="3"/>
      <c r="M48" s="3"/>
      <c r="N48" s="156"/>
      <c r="O48" s="157"/>
      <c r="P48" s="157"/>
    </row>
    <row r="49" spans="1:16" ht="15.6">
      <c r="A49" s="618" t="s">
        <v>482</v>
      </c>
      <c r="B49" s="619"/>
      <c r="C49" s="619"/>
      <c r="D49" s="619"/>
      <c r="E49" s="619"/>
      <c r="F49" s="619"/>
      <c r="G49" s="619"/>
      <c r="H49" s="619"/>
      <c r="I49" s="619"/>
      <c r="J49" s="619"/>
      <c r="K49" s="619"/>
      <c r="L49" s="619"/>
      <c r="M49" s="619"/>
      <c r="N49" s="690"/>
      <c r="O49" s="690"/>
      <c r="P49" s="691"/>
    </row>
    <row r="50" spans="1:16" ht="15.6">
      <c r="A50" s="618" t="s">
        <v>483</v>
      </c>
      <c r="B50" s="619"/>
      <c r="C50" s="619"/>
      <c r="D50" s="619"/>
      <c r="E50" s="619"/>
      <c r="F50" s="619"/>
      <c r="G50" s="619"/>
      <c r="H50" s="619"/>
      <c r="I50" s="619"/>
      <c r="J50" s="619"/>
      <c r="K50" s="619"/>
      <c r="L50" s="619"/>
      <c r="M50" s="619"/>
      <c r="N50" s="690"/>
      <c r="O50" s="690"/>
      <c r="P50" s="691"/>
    </row>
    <row r="51" spans="1:16" ht="15.6">
      <c r="A51" s="13" t="s">
        <v>484</v>
      </c>
      <c r="B51" s="618" t="s">
        <v>485</v>
      </c>
      <c r="C51" s="619"/>
      <c r="D51" s="619"/>
      <c r="E51" s="619"/>
      <c r="F51" s="619"/>
      <c r="G51" s="619"/>
      <c r="H51" s="619"/>
      <c r="I51" s="619"/>
      <c r="J51" s="619"/>
      <c r="K51" s="619"/>
      <c r="L51" s="619"/>
      <c r="M51" s="620"/>
      <c r="N51" s="706" t="s">
        <v>51</v>
      </c>
      <c r="O51" s="707"/>
      <c r="P51" s="708"/>
    </row>
    <row r="52" spans="1:16" ht="15.6">
      <c r="A52" s="7" t="s">
        <v>25</v>
      </c>
      <c r="B52" s="680" t="s">
        <v>486</v>
      </c>
      <c r="C52" s="681"/>
      <c r="D52" s="681"/>
      <c r="E52" s="681"/>
      <c r="F52" s="681"/>
      <c r="G52" s="681"/>
      <c r="H52" s="681"/>
      <c r="I52" s="681"/>
      <c r="J52" s="681"/>
      <c r="K52" s="681"/>
      <c r="L52" s="681"/>
      <c r="M52" s="682"/>
      <c r="N52" s="714">
        <f>N46*'BASE DE CÁLCULO'!C85</f>
        <v>178.73</v>
      </c>
      <c r="O52" s="715"/>
      <c r="P52" s="716"/>
    </row>
    <row r="53" spans="1:16" ht="15.6">
      <c r="A53" s="7" t="s">
        <v>27</v>
      </c>
      <c r="B53" s="680" t="s">
        <v>487</v>
      </c>
      <c r="C53" s="681"/>
      <c r="D53" s="681"/>
      <c r="E53" s="681"/>
      <c r="F53" s="681"/>
      <c r="G53" s="681"/>
      <c r="H53" s="681"/>
      <c r="I53" s="681"/>
      <c r="J53" s="681"/>
      <c r="K53" s="681"/>
      <c r="L53" s="681"/>
      <c r="M53" s="682"/>
      <c r="N53" s="714">
        <f>(N46*'BASE DE CÁLCULO'!C94)+(N46*'BASE DE CÁLCULO'!C86)</f>
        <v>238.31</v>
      </c>
      <c r="O53" s="715"/>
      <c r="P53" s="716"/>
    </row>
    <row r="54" spans="1:16" ht="15.6">
      <c r="A54" s="633" t="s">
        <v>480</v>
      </c>
      <c r="B54" s="634"/>
      <c r="C54" s="634"/>
      <c r="D54" s="634"/>
      <c r="E54" s="634"/>
      <c r="F54" s="634"/>
      <c r="G54" s="634"/>
      <c r="H54" s="634"/>
      <c r="I54" s="634"/>
      <c r="J54" s="634"/>
      <c r="K54" s="634"/>
      <c r="L54" s="634"/>
      <c r="M54" s="635"/>
      <c r="N54" s="717">
        <f>SUM(N52:P53)</f>
        <v>417.04</v>
      </c>
      <c r="O54" s="718"/>
      <c r="P54" s="719"/>
    </row>
    <row r="55" spans="1:16" ht="13.2">
      <c r="A55" s="688" t="s">
        <v>488</v>
      </c>
      <c r="B55" s="688"/>
      <c r="C55" s="688"/>
      <c r="D55" s="688"/>
      <c r="E55" s="688"/>
      <c r="F55" s="688"/>
      <c r="G55" s="688"/>
      <c r="H55" s="688"/>
      <c r="I55" s="688"/>
      <c r="J55" s="688"/>
      <c r="K55" s="688"/>
      <c r="L55" s="688"/>
      <c r="M55" s="688"/>
      <c r="N55" s="689"/>
      <c r="O55" s="689"/>
      <c r="P55" s="689"/>
    </row>
    <row r="56" spans="1:16" ht="13.2">
      <c r="A56" s="688" t="s">
        <v>489</v>
      </c>
      <c r="B56" s="688"/>
      <c r="C56" s="688"/>
      <c r="D56" s="688"/>
      <c r="E56" s="688"/>
      <c r="F56" s="688"/>
      <c r="G56" s="688"/>
      <c r="H56" s="688"/>
      <c r="I56" s="688"/>
      <c r="J56" s="688"/>
      <c r="K56" s="688"/>
      <c r="L56" s="688"/>
      <c r="M56" s="688"/>
      <c r="N56" s="689"/>
      <c r="O56" s="689"/>
      <c r="P56" s="689"/>
    </row>
    <row r="57" spans="1:16" ht="13.2">
      <c r="A57" s="3"/>
      <c r="B57" s="3"/>
      <c r="C57" s="3"/>
      <c r="D57" s="3"/>
      <c r="E57" s="3"/>
      <c r="F57" s="3"/>
      <c r="G57" s="3"/>
      <c r="H57" s="3"/>
      <c r="I57" s="3"/>
      <c r="J57" s="3"/>
      <c r="K57" s="3"/>
      <c r="L57" s="3"/>
      <c r="M57" s="3"/>
      <c r="N57" s="158"/>
      <c r="O57" s="159"/>
      <c r="P57" s="159"/>
    </row>
    <row r="58" spans="1:16" ht="15.6">
      <c r="A58" s="615" t="s">
        <v>490</v>
      </c>
      <c r="B58" s="616"/>
      <c r="C58" s="616"/>
      <c r="D58" s="616"/>
      <c r="E58" s="616"/>
      <c r="F58" s="616"/>
      <c r="G58" s="616"/>
      <c r="H58" s="616"/>
      <c r="I58" s="616"/>
      <c r="J58" s="616"/>
      <c r="K58" s="616"/>
      <c r="L58" s="616"/>
      <c r="M58" s="616"/>
      <c r="N58" s="704"/>
      <c r="O58" s="704"/>
      <c r="P58" s="705"/>
    </row>
    <row r="59" spans="1:16" ht="15.6">
      <c r="A59" s="13" t="s">
        <v>491</v>
      </c>
      <c r="B59" s="618" t="s">
        <v>492</v>
      </c>
      <c r="C59" s="619"/>
      <c r="D59" s="619"/>
      <c r="E59" s="619"/>
      <c r="F59" s="619"/>
      <c r="G59" s="619"/>
      <c r="H59" s="619"/>
      <c r="I59" s="619"/>
      <c r="J59" s="619"/>
      <c r="K59" s="620"/>
      <c r="L59" s="618" t="s">
        <v>493</v>
      </c>
      <c r="M59" s="620"/>
      <c r="N59" s="706" t="s">
        <v>51</v>
      </c>
      <c r="O59" s="707"/>
      <c r="P59" s="708"/>
    </row>
    <row r="60" spans="1:16" ht="15.6">
      <c r="A60" s="7" t="s">
        <v>25</v>
      </c>
      <c r="B60" s="680" t="s">
        <v>494</v>
      </c>
      <c r="C60" s="681"/>
      <c r="D60" s="681"/>
      <c r="E60" s="681"/>
      <c r="F60" s="681"/>
      <c r="G60" s="681"/>
      <c r="H60" s="681"/>
      <c r="I60" s="681"/>
      <c r="J60" s="681"/>
      <c r="K60" s="682"/>
      <c r="L60" s="693">
        <f>'BASE DE CÁLCULO'!C76</f>
        <v>0.2</v>
      </c>
      <c r="M60" s="723"/>
      <c r="N60" s="714">
        <f>N46*L60</f>
        <v>313.56</v>
      </c>
      <c r="O60" s="715"/>
      <c r="P60" s="716"/>
    </row>
    <row r="61" spans="1:16" ht="15.6">
      <c r="A61" s="7" t="s">
        <v>27</v>
      </c>
      <c r="B61" s="680" t="s">
        <v>495</v>
      </c>
      <c r="C61" s="681"/>
      <c r="D61" s="681"/>
      <c r="E61" s="681"/>
      <c r="F61" s="681"/>
      <c r="G61" s="681"/>
      <c r="H61" s="681"/>
      <c r="I61" s="681"/>
      <c r="J61" s="681"/>
      <c r="K61" s="682"/>
      <c r="L61" s="693">
        <f>'BASE DE CÁLCULO'!C80</f>
        <v>2.5000000000000001E-2</v>
      </c>
      <c r="M61" s="723"/>
      <c r="N61" s="714">
        <f>N46*L61</f>
        <v>39.200000000000003</v>
      </c>
      <c r="O61" s="715"/>
      <c r="P61" s="716"/>
    </row>
    <row r="62" spans="1:16" ht="15.6">
      <c r="A62" s="7" t="s">
        <v>30</v>
      </c>
      <c r="B62" s="680" t="s">
        <v>496</v>
      </c>
      <c r="C62" s="681"/>
      <c r="D62" s="681"/>
      <c r="E62" s="681"/>
      <c r="F62" s="681"/>
      <c r="G62" s="681"/>
      <c r="H62" s="681"/>
      <c r="I62" s="681"/>
      <c r="J62" s="681"/>
      <c r="K62" s="682"/>
      <c r="L62" s="726">
        <f>'BASE DE CÁLCULO'!C82</f>
        <v>0.03</v>
      </c>
      <c r="M62" s="727"/>
      <c r="N62" s="714">
        <f>N46*L62</f>
        <v>47.03</v>
      </c>
      <c r="O62" s="715"/>
      <c r="P62" s="716"/>
    </row>
    <row r="63" spans="1:16" ht="15.6">
      <c r="A63" s="7" t="s">
        <v>32</v>
      </c>
      <c r="B63" s="680" t="s">
        <v>497</v>
      </c>
      <c r="C63" s="681"/>
      <c r="D63" s="681"/>
      <c r="E63" s="681"/>
      <c r="F63" s="681"/>
      <c r="G63" s="681"/>
      <c r="H63" s="681"/>
      <c r="I63" s="681"/>
      <c r="J63" s="681"/>
      <c r="K63" s="682"/>
      <c r="L63" s="693">
        <f>'BASE DE CÁLCULO'!C77</f>
        <v>1.4999999999999999E-2</v>
      </c>
      <c r="M63" s="723"/>
      <c r="N63" s="714">
        <f>N46*L63</f>
        <v>23.52</v>
      </c>
      <c r="O63" s="715"/>
      <c r="P63" s="716"/>
    </row>
    <row r="64" spans="1:16" ht="15.6">
      <c r="A64" s="7" t="s">
        <v>56</v>
      </c>
      <c r="B64" s="680" t="s">
        <v>498</v>
      </c>
      <c r="C64" s="681"/>
      <c r="D64" s="681"/>
      <c r="E64" s="681"/>
      <c r="F64" s="681"/>
      <c r="G64" s="681"/>
      <c r="H64" s="681"/>
      <c r="I64" s="681"/>
      <c r="J64" s="681"/>
      <c r="K64" s="682"/>
      <c r="L64" s="693">
        <f>'BASE DE CÁLCULO'!C78</f>
        <v>0.01</v>
      </c>
      <c r="M64" s="723"/>
      <c r="N64" s="714">
        <f>N46*L64</f>
        <v>15.68</v>
      </c>
      <c r="O64" s="715"/>
      <c r="P64" s="716"/>
    </row>
    <row r="65" spans="1:16" ht="15.6">
      <c r="A65" s="7" t="s">
        <v>58</v>
      </c>
      <c r="B65" s="680" t="s">
        <v>499</v>
      </c>
      <c r="C65" s="681"/>
      <c r="D65" s="681"/>
      <c r="E65" s="681"/>
      <c r="F65" s="681"/>
      <c r="G65" s="681"/>
      <c r="H65" s="681"/>
      <c r="I65" s="681"/>
      <c r="J65" s="681"/>
      <c r="K65" s="682"/>
      <c r="L65" s="693">
        <f>'BASE DE CÁLCULO'!C83</f>
        <v>6.0000000000000001E-3</v>
      </c>
      <c r="M65" s="723"/>
      <c r="N65" s="714">
        <f>N46*L65</f>
        <v>9.41</v>
      </c>
      <c r="O65" s="715"/>
      <c r="P65" s="716"/>
    </row>
    <row r="66" spans="1:16" ht="15.6">
      <c r="A66" s="7" t="s">
        <v>60</v>
      </c>
      <c r="B66" s="680" t="s">
        <v>500</v>
      </c>
      <c r="C66" s="681"/>
      <c r="D66" s="681"/>
      <c r="E66" s="681"/>
      <c r="F66" s="681"/>
      <c r="G66" s="681"/>
      <c r="H66" s="681"/>
      <c r="I66" s="681"/>
      <c r="J66" s="681"/>
      <c r="K66" s="682"/>
      <c r="L66" s="693">
        <f>'BASE DE CÁLCULO'!C79</f>
        <v>2E-3</v>
      </c>
      <c r="M66" s="723"/>
      <c r="N66" s="714">
        <f>N46*L66</f>
        <v>3.14</v>
      </c>
      <c r="O66" s="715"/>
      <c r="P66" s="716"/>
    </row>
    <row r="67" spans="1:16" ht="15.6">
      <c r="A67" s="15" t="s">
        <v>62</v>
      </c>
      <c r="B67" s="680" t="s">
        <v>501</v>
      </c>
      <c r="C67" s="681"/>
      <c r="D67" s="681"/>
      <c r="E67" s="681"/>
      <c r="F67" s="681"/>
      <c r="G67" s="681"/>
      <c r="H67" s="681"/>
      <c r="I67" s="681"/>
      <c r="J67" s="681"/>
      <c r="K67" s="682"/>
      <c r="L67" s="693">
        <f>'BASE DE CÁLCULO'!C81</f>
        <v>0.08</v>
      </c>
      <c r="M67" s="723"/>
      <c r="N67" s="714">
        <f>N46*L67</f>
        <v>125.42</v>
      </c>
      <c r="O67" s="715"/>
      <c r="P67" s="716"/>
    </row>
    <row r="68" spans="1:16" ht="15.6">
      <c r="A68" s="633" t="s">
        <v>480</v>
      </c>
      <c r="B68" s="634"/>
      <c r="C68" s="634"/>
      <c r="D68" s="634"/>
      <c r="E68" s="634"/>
      <c r="F68" s="634"/>
      <c r="G68" s="634"/>
      <c r="H68" s="634"/>
      <c r="I68" s="634"/>
      <c r="J68" s="634"/>
      <c r="K68" s="635"/>
      <c r="L68" s="724">
        <f>SUM(L60:M67)</f>
        <v>0.36799999999999999</v>
      </c>
      <c r="M68" s="725"/>
      <c r="N68" s="717">
        <f>SUM(N60:P67)</f>
        <v>576.96</v>
      </c>
      <c r="O68" s="718"/>
      <c r="P68" s="719"/>
    </row>
    <row r="69" spans="1:16" ht="13.2">
      <c r="A69" s="686" t="s">
        <v>502</v>
      </c>
      <c r="B69" s="686"/>
      <c r="C69" s="686"/>
      <c r="D69" s="686"/>
      <c r="E69" s="686"/>
      <c r="F69" s="686"/>
      <c r="G69" s="686"/>
      <c r="H69" s="686"/>
      <c r="I69" s="686"/>
      <c r="J69" s="686"/>
      <c r="K69" s="686"/>
      <c r="L69" s="686"/>
      <c r="M69" s="686"/>
      <c r="N69" s="687"/>
      <c r="O69" s="687"/>
      <c r="P69" s="687"/>
    </row>
    <row r="70" spans="1:16" ht="13.2">
      <c r="A70" s="688" t="s">
        <v>503</v>
      </c>
      <c r="B70" s="688"/>
      <c r="C70" s="688"/>
      <c r="D70" s="688"/>
      <c r="E70" s="688"/>
      <c r="F70" s="688"/>
      <c r="G70" s="688"/>
      <c r="H70" s="688"/>
      <c r="I70" s="688"/>
      <c r="J70" s="688"/>
      <c r="K70" s="688"/>
      <c r="L70" s="688"/>
      <c r="M70" s="688"/>
      <c r="N70" s="689"/>
      <c r="O70" s="689"/>
      <c r="P70" s="689"/>
    </row>
    <row r="71" spans="1:16" ht="13.2">
      <c r="A71" s="688" t="s">
        <v>504</v>
      </c>
      <c r="B71" s="688"/>
      <c r="C71" s="688"/>
      <c r="D71" s="688"/>
      <c r="E71" s="688"/>
      <c r="F71" s="688"/>
      <c r="G71" s="688"/>
      <c r="H71" s="688"/>
      <c r="I71" s="688"/>
      <c r="J71" s="688"/>
      <c r="K71" s="688"/>
      <c r="L71" s="688"/>
      <c r="M71" s="688"/>
      <c r="N71" s="689"/>
      <c r="O71" s="689"/>
      <c r="P71" s="689"/>
    </row>
    <row r="72" spans="1:16" ht="13.2">
      <c r="A72" s="3"/>
      <c r="B72" s="3"/>
      <c r="C72" s="3"/>
      <c r="D72" s="3"/>
      <c r="E72" s="3"/>
      <c r="F72" s="3"/>
      <c r="G72" s="3"/>
      <c r="H72" s="3"/>
      <c r="I72" s="3"/>
      <c r="J72" s="3"/>
      <c r="K72" s="3"/>
      <c r="L72" s="3"/>
      <c r="M72" s="3"/>
      <c r="N72" s="162"/>
      <c r="O72" s="140"/>
      <c r="P72" s="140"/>
    </row>
    <row r="73" spans="1:16" ht="15.6">
      <c r="A73" s="618" t="s">
        <v>505</v>
      </c>
      <c r="B73" s="619"/>
      <c r="C73" s="619"/>
      <c r="D73" s="619"/>
      <c r="E73" s="619"/>
      <c r="F73" s="619"/>
      <c r="G73" s="619"/>
      <c r="H73" s="619"/>
      <c r="I73" s="619"/>
      <c r="J73" s="619"/>
      <c r="K73" s="619"/>
      <c r="L73" s="619"/>
      <c r="M73" s="619"/>
      <c r="N73" s="690"/>
      <c r="O73" s="690"/>
      <c r="P73" s="691"/>
    </row>
    <row r="74" spans="1:16" ht="15.6">
      <c r="A74" s="13" t="s">
        <v>506</v>
      </c>
      <c r="B74" s="618" t="s">
        <v>66</v>
      </c>
      <c r="C74" s="619"/>
      <c r="D74" s="619"/>
      <c r="E74" s="619"/>
      <c r="F74" s="619"/>
      <c r="G74" s="619"/>
      <c r="H74" s="619"/>
      <c r="I74" s="619"/>
      <c r="J74" s="619"/>
      <c r="K74" s="619"/>
      <c r="L74" s="619"/>
      <c r="M74" s="620"/>
      <c r="N74" s="706" t="s">
        <v>51</v>
      </c>
      <c r="O74" s="707"/>
      <c r="P74" s="708"/>
    </row>
    <row r="75" spans="1:16" ht="15.6">
      <c r="A75" s="7" t="s">
        <v>25</v>
      </c>
      <c r="B75" s="680" t="s">
        <v>507</v>
      </c>
      <c r="C75" s="681"/>
      <c r="D75" s="681"/>
      <c r="E75" s="681"/>
      <c r="F75" s="681"/>
      <c r="G75" s="681"/>
      <c r="H75" s="681"/>
      <c r="I75" s="681"/>
      <c r="J75" s="681"/>
      <c r="K75" s="681"/>
      <c r="L75" s="681"/>
      <c r="M75" s="682"/>
      <c r="N75" s="714">
        <f>'BASE DE CÁLCULO'!K23</f>
        <v>129.37</v>
      </c>
      <c r="O75" s="715"/>
      <c r="P75" s="716"/>
    </row>
    <row r="76" spans="1:16" ht="15.6">
      <c r="A76" s="7" t="s">
        <v>27</v>
      </c>
      <c r="B76" s="680" t="s">
        <v>331</v>
      </c>
      <c r="C76" s="681"/>
      <c r="D76" s="681"/>
      <c r="E76" s="681"/>
      <c r="F76" s="681"/>
      <c r="G76" s="681"/>
      <c r="H76" s="681"/>
      <c r="I76" s="681"/>
      <c r="J76" s="681"/>
      <c r="K76" s="681"/>
      <c r="L76" s="681"/>
      <c r="M76" s="682"/>
      <c r="N76" s="714">
        <f>'BASE DE CÁLCULO'!L23</f>
        <v>158.11000000000001</v>
      </c>
      <c r="O76" s="715"/>
      <c r="P76" s="716"/>
    </row>
    <row r="77" spans="1:16" ht="15.6">
      <c r="A77" s="7" t="s">
        <v>30</v>
      </c>
      <c r="B77" s="680" t="s">
        <v>508</v>
      </c>
      <c r="C77" s="681"/>
      <c r="D77" s="681"/>
      <c r="E77" s="681"/>
      <c r="F77" s="681"/>
      <c r="G77" s="681"/>
      <c r="H77" s="681"/>
      <c r="I77" s="681"/>
      <c r="J77" s="681"/>
      <c r="K77" s="681"/>
      <c r="L77" s="681"/>
      <c r="M77" s="682"/>
      <c r="N77" s="714">
        <f>'BASE DE CÁLCULO'!N23</f>
        <v>235.52</v>
      </c>
      <c r="O77" s="715"/>
      <c r="P77" s="716"/>
    </row>
    <row r="78" spans="1:16" ht="15.6">
      <c r="A78" s="7" t="s">
        <v>32</v>
      </c>
      <c r="B78" s="680" t="s">
        <v>509</v>
      </c>
      <c r="C78" s="681"/>
      <c r="D78" s="681"/>
      <c r="E78" s="681"/>
      <c r="F78" s="681"/>
      <c r="G78" s="681"/>
      <c r="H78" s="681"/>
      <c r="I78" s="681"/>
      <c r="J78" s="681"/>
      <c r="K78" s="681"/>
      <c r="L78" s="681"/>
      <c r="M78" s="682"/>
      <c r="N78" s="714">
        <f>'BASE DE CÁLCULO'!M23</f>
        <v>0</v>
      </c>
      <c r="O78" s="715"/>
      <c r="P78" s="716"/>
    </row>
    <row r="79" spans="1:16" ht="15.6">
      <c r="A79" s="7" t="s">
        <v>56</v>
      </c>
      <c r="B79" s="680" t="s">
        <v>510</v>
      </c>
      <c r="C79" s="681"/>
      <c r="D79" s="681"/>
      <c r="E79" s="681"/>
      <c r="F79" s="681"/>
      <c r="G79" s="681"/>
      <c r="H79" s="681"/>
      <c r="I79" s="681"/>
      <c r="J79" s="681"/>
      <c r="K79" s="681"/>
      <c r="L79" s="681"/>
      <c r="M79" s="682"/>
      <c r="N79" s="714">
        <f>'BASE DE CÁLCULO'!Q23</f>
        <v>25.3</v>
      </c>
      <c r="O79" s="715"/>
      <c r="P79" s="716"/>
    </row>
    <row r="80" spans="1:16" ht="15.6">
      <c r="A80" s="7" t="s">
        <v>58</v>
      </c>
      <c r="B80" s="680" t="s">
        <v>511</v>
      </c>
      <c r="C80" s="681"/>
      <c r="D80" s="681"/>
      <c r="E80" s="681"/>
      <c r="F80" s="681"/>
      <c r="G80" s="681"/>
      <c r="H80" s="681"/>
      <c r="I80" s="681"/>
      <c r="J80" s="681"/>
      <c r="K80" s="681"/>
      <c r="L80" s="681"/>
      <c r="M80" s="682"/>
      <c r="N80" s="720">
        <f>'BASE DE CÁLCULO'!S23</f>
        <v>168.14</v>
      </c>
      <c r="O80" s="721"/>
      <c r="P80" s="722"/>
    </row>
    <row r="81" spans="1:16" ht="16.2" customHeight="1">
      <c r="A81" s="7" t="s">
        <v>60</v>
      </c>
      <c r="B81" s="680" t="s">
        <v>334</v>
      </c>
      <c r="C81" s="681"/>
      <c r="D81" s="681"/>
      <c r="E81" s="681"/>
      <c r="F81" s="681"/>
      <c r="G81" s="681"/>
      <c r="H81" s="681"/>
      <c r="I81" s="681"/>
      <c r="J81" s="681"/>
      <c r="K81" s="681"/>
      <c r="L81" s="681"/>
      <c r="M81" s="682"/>
      <c r="N81" s="714">
        <f>'BASE DE CÁLCULO'!R23</f>
        <v>6.43</v>
      </c>
      <c r="O81" s="715"/>
      <c r="P81" s="716"/>
    </row>
    <row r="82" spans="1:16" ht="15.6">
      <c r="A82" s="633" t="s">
        <v>480</v>
      </c>
      <c r="B82" s="634"/>
      <c r="C82" s="634"/>
      <c r="D82" s="634"/>
      <c r="E82" s="634"/>
      <c r="F82" s="634"/>
      <c r="G82" s="634"/>
      <c r="H82" s="634"/>
      <c r="I82" s="634"/>
      <c r="J82" s="634"/>
      <c r="K82" s="634"/>
      <c r="L82" s="634"/>
      <c r="M82" s="635"/>
      <c r="N82" s="717">
        <f>SUM(N75:P81)</f>
        <v>722.87</v>
      </c>
      <c r="O82" s="718"/>
      <c r="P82" s="719"/>
    </row>
    <row r="83" spans="1:16" ht="13.2">
      <c r="A83" s="686" t="s">
        <v>512</v>
      </c>
      <c r="B83" s="686"/>
      <c r="C83" s="686"/>
      <c r="D83" s="686"/>
      <c r="E83" s="686"/>
      <c r="F83" s="686"/>
      <c r="G83" s="686"/>
      <c r="H83" s="686"/>
      <c r="I83" s="686"/>
      <c r="J83" s="686"/>
      <c r="K83" s="686"/>
      <c r="L83" s="686"/>
      <c r="M83" s="686"/>
      <c r="N83" s="687"/>
      <c r="O83" s="687"/>
      <c r="P83" s="687"/>
    </row>
    <row r="84" spans="1:16" ht="13.2">
      <c r="A84" s="688" t="s">
        <v>513</v>
      </c>
      <c r="B84" s="688"/>
      <c r="C84" s="688"/>
      <c r="D84" s="688"/>
      <c r="E84" s="688"/>
      <c r="F84" s="688"/>
      <c r="G84" s="688"/>
      <c r="H84" s="688"/>
      <c r="I84" s="688"/>
      <c r="J84" s="688"/>
      <c r="K84" s="688"/>
      <c r="L84" s="688"/>
      <c r="M84" s="688"/>
      <c r="N84" s="689"/>
      <c r="O84" s="689"/>
      <c r="P84" s="689"/>
    </row>
    <row r="85" spans="1:16">
      <c r="A85" s="3"/>
      <c r="B85" s="3"/>
      <c r="C85" s="3"/>
      <c r="D85" s="3"/>
      <c r="E85" s="3"/>
      <c r="F85" s="3"/>
      <c r="G85" s="3"/>
      <c r="H85" s="3"/>
      <c r="I85" s="3"/>
      <c r="J85" s="3"/>
      <c r="K85" s="3"/>
      <c r="L85" s="3"/>
      <c r="M85" s="3"/>
      <c r="N85" s="146"/>
      <c r="O85" s="147"/>
      <c r="P85" s="147"/>
    </row>
    <row r="86" spans="1:16" ht="15.6">
      <c r="A86" s="618" t="s">
        <v>514</v>
      </c>
      <c r="B86" s="628"/>
      <c r="C86" s="628"/>
      <c r="D86" s="628"/>
      <c r="E86" s="628"/>
      <c r="F86" s="628"/>
      <c r="G86" s="628"/>
      <c r="H86" s="628"/>
      <c r="I86" s="628"/>
      <c r="J86" s="628"/>
      <c r="K86" s="628"/>
      <c r="L86" s="628"/>
      <c r="M86" s="628"/>
      <c r="N86" s="690"/>
      <c r="O86" s="690"/>
      <c r="P86" s="691"/>
    </row>
    <row r="87" spans="1:16" ht="15.6">
      <c r="A87" s="11">
        <v>2</v>
      </c>
      <c r="B87" s="709" t="s">
        <v>515</v>
      </c>
      <c r="C87" s="710"/>
      <c r="D87" s="710"/>
      <c r="E87" s="710"/>
      <c r="F87" s="710"/>
      <c r="G87" s="710"/>
      <c r="H87" s="710"/>
      <c r="I87" s="710"/>
      <c r="J87" s="710"/>
      <c r="K87" s="710"/>
      <c r="L87" s="710"/>
      <c r="M87" s="711"/>
      <c r="N87" s="706" t="s">
        <v>51</v>
      </c>
      <c r="O87" s="707"/>
      <c r="P87" s="708"/>
    </row>
    <row r="88" spans="1:16" ht="15.6">
      <c r="A88" s="11" t="s">
        <v>516</v>
      </c>
      <c r="B88" s="712" t="s">
        <v>517</v>
      </c>
      <c r="C88" s="712"/>
      <c r="D88" s="712"/>
      <c r="E88" s="712"/>
      <c r="F88" s="712"/>
      <c r="G88" s="712"/>
      <c r="H88" s="712"/>
      <c r="I88" s="712"/>
      <c r="J88" s="712"/>
      <c r="K88" s="712"/>
      <c r="L88" s="712"/>
      <c r="M88" s="712"/>
      <c r="N88" s="713">
        <f>N54</f>
        <v>417.04</v>
      </c>
      <c r="O88" s="684"/>
      <c r="P88" s="685"/>
    </row>
    <row r="89" spans="1:16" ht="15.6">
      <c r="A89" s="11" t="s">
        <v>491</v>
      </c>
      <c r="B89" s="699" t="s">
        <v>518</v>
      </c>
      <c r="C89" s="700"/>
      <c r="D89" s="700"/>
      <c r="E89" s="700"/>
      <c r="F89" s="700"/>
      <c r="G89" s="700"/>
      <c r="H89" s="700"/>
      <c r="I89" s="700"/>
      <c r="J89" s="700"/>
      <c r="K89" s="700"/>
      <c r="L89" s="700"/>
      <c r="M89" s="701"/>
      <c r="N89" s="684">
        <f>N68</f>
        <v>576.96</v>
      </c>
      <c r="O89" s="684"/>
      <c r="P89" s="685"/>
    </row>
    <row r="90" spans="1:16" ht="15.6">
      <c r="A90" s="9" t="s">
        <v>506</v>
      </c>
      <c r="B90" s="699" t="s">
        <v>519</v>
      </c>
      <c r="C90" s="700"/>
      <c r="D90" s="700"/>
      <c r="E90" s="700"/>
      <c r="F90" s="700"/>
      <c r="G90" s="700"/>
      <c r="H90" s="700"/>
      <c r="I90" s="700"/>
      <c r="J90" s="700"/>
      <c r="K90" s="700"/>
      <c r="L90" s="700"/>
      <c r="M90" s="701"/>
      <c r="N90" s="684">
        <f>N82</f>
        <v>722.87</v>
      </c>
      <c r="O90" s="684"/>
      <c r="P90" s="685"/>
    </row>
    <row r="91" spans="1:16" ht="15.6">
      <c r="A91" s="633" t="s">
        <v>480</v>
      </c>
      <c r="B91" s="702"/>
      <c r="C91" s="702"/>
      <c r="D91" s="702"/>
      <c r="E91" s="702"/>
      <c r="F91" s="702"/>
      <c r="G91" s="702"/>
      <c r="H91" s="702"/>
      <c r="I91" s="702"/>
      <c r="J91" s="702"/>
      <c r="K91" s="702"/>
      <c r="L91" s="702"/>
      <c r="M91" s="703"/>
      <c r="N91" s="665">
        <f>SUM(N88:P90)</f>
        <v>1716.87</v>
      </c>
      <c r="O91" s="666"/>
      <c r="P91" s="667"/>
    </row>
    <row r="92" spans="1:16" ht="15.6">
      <c r="A92" s="3"/>
      <c r="B92" s="3"/>
      <c r="C92" s="3"/>
      <c r="D92" s="3"/>
      <c r="E92" s="3"/>
      <c r="F92" s="3"/>
      <c r="G92" s="3"/>
      <c r="H92" s="3"/>
      <c r="I92" s="3"/>
      <c r="J92" s="3"/>
      <c r="K92" s="3"/>
      <c r="L92" s="3"/>
      <c r="M92" s="3"/>
      <c r="N92" s="150"/>
      <c r="O92" s="148"/>
      <c r="P92" s="149"/>
    </row>
    <row r="93" spans="1:16" ht="15.6">
      <c r="A93" s="615" t="s">
        <v>520</v>
      </c>
      <c r="B93" s="616"/>
      <c r="C93" s="616"/>
      <c r="D93" s="616"/>
      <c r="E93" s="616"/>
      <c r="F93" s="616"/>
      <c r="G93" s="616"/>
      <c r="H93" s="616"/>
      <c r="I93" s="616"/>
      <c r="J93" s="616"/>
      <c r="K93" s="616"/>
      <c r="L93" s="616"/>
      <c r="M93" s="616"/>
      <c r="N93" s="704"/>
      <c r="O93" s="704"/>
      <c r="P93" s="705"/>
    </row>
    <row r="94" spans="1:16" ht="15.6">
      <c r="A94" s="13">
        <v>3</v>
      </c>
      <c r="B94" s="618" t="s">
        <v>112</v>
      </c>
      <c r="C94" s="619"/>
      <c r="D94" s="619"/>
      <c r="E94" s="619"/>
      <c r="F94" s="619"/>
      <c r="G94" s="619"/>
      <c r="H94" s="619"/>
      <c r="I94" s="619"/>
      <c r="J94" s="619"/>
      <c r="K94" s="619"/>
      <c r="L94" s="619"/>
      <c r="M94" s="620"/>
      <c r="N94" s="706" t="s">
        <v>51</v>
      </c>
      <c r="O94" s="707"/>
      <c r="P94" s="708"/>
    </row>
    <row r="95" spans="1:16" ht="15.6">
      <c r="A95" s="7" t="s">
        <v>25</v>
      </c>
      <c r="B95" s="680" t="s">
        <v>521</v>
      </c>
      <c r="C95" s="681"/>
      <c r="D95" s="681"/>
      <c r="E95" s="681"/>
      <c r="F95" s="681"/>
      <c r="G95" s="681"/>
      <c r="H95" s="681"/>
      <c r="I95" s="681"/>
      <c r="J95" s="681"/>
      <c r="K95" s="681"/>
      <c r="L95" s="681"/>
      <c r="M95" s="682"/>
      <c r="N95" s="683">
        <f>N46*'BASE DE CÁLCULO'!C88</f>
        <v>6.58</v>
      </c>
      <c r="O95" s="684"/>
      <c r="P95" s="685"/>
    </row>
    <row r="96" spans="1:16" ht="15.6">
      <c r="A96" s="7" t="s">
        <v>27</v>
      </c>
      <c r="B96" s="680" t="s">
        <v>522</v>
      </c>
      <c r="C96" s="681"/>
      <c r="D96" s="681"/>
      <c r="E96" s="681"/>
      <c r="F96" s="681"/>
      <c r="G96" s="681"/>
      <c r="H96" s="681"/>
      <c r="I96" s="681"/>
      <c r="J96" s="681"/>
      <c r="K96" s="681"/>
      <c r="L96" s="681"/>
      <c r="M96" s="682"/>
      <c r="N96" s="683">
        <f>N46*'BASE DE CÁLCULO'!C89</f>
        <v>0.47</v>
      </c>
      <c r="O96" s="684"/>
      <c r="P96" s="685"/>
    </row>
    <row r="97" spans="1:16" ht="15.6">
      <c r="A97" s="7" t="s">
        <v>30</v>
      </c>
      <c r="B97" s="680" t="s">
        <v>523</v>
      </c>
      <c r="C97" s="681"/>
      <c r="D97" s="681"/>
      <c r="E97" s="681"/>
      <c r="F97" s="681"/>
      <c r="G97" s="681"/>
      <c r="H97" s="681"/>
      <c r="I97" s="681"/>
      <c r="J97" s="681"/>
      <c r="K97" s="681"/>
      <c r="L97" s="681"/>
      <c r="M97" s="682"/>
      <c r="N97" s="683">
        <f>N46*'BASE DE CÁLCULO'!C90</f>
        <v>0.16</v>
      </c>
      <c r="O97" s="684"/>
      <c r="P97" s="685"/>
    </row>
    <row r="98" spans="1:16" ht="15.6">
      <c r="A98" s="7" t="s">
        <v>32</v>
      </c>
      <c r="B98" s="680" t="s">
        <v>524</v>
      </c>
      <c r="C98" s="681"/>
      <c r="D98" s="681"/>
      <c r="E98" s="681"/>
      <c r="F98" s="681"/>
      <c r="G98" s="681"/>
      <c r="H98" s="681"/>
      <c r="I98" s="681"/>
      <c r="J98" s="681"/>
      <c r="K98" s="681"/>
      <c r="L98" s="681"/>
      <c r="M98" s="682"/>
      <c r="N98" s="683">
        <f>N46*'BASE DE CÁLCULO'!C91</f>
        <v>30.42</v>
      </c>
      <c r="O98" s="684"/>
      <c r="P98" s="685"/>
    </row>
    <row r="99" spans="1:16" ht="15.6">
      <c r="A99" s="7" t="s">
        <v>56</v>
      </c>
      <c r="B99" s="680" t="s">
        <v>525</v>
      </c>
      <c r="C99" s="681"/>
      <c r="D99" s="681"/>
      <c r="E99" s="681"/>
      <c r="F99" s="681"/>
      <c r="G99" s="681"/>
      <c r="H99" s="681"/>
      <c r="I99" s="681"/>
      <c r="J99" s="681"/>
      <c r="K99" s="681"/>
      <c r="L99" s="681"/>
      <c r="M99" s="682"/>
      <c r="N99" s="683">
        <f>N46*'BASE DE CÁLCULO'!C92</f>
        <v>11.13</v>
      </c>
      <c r="O99" s="684"/>
      <c r="P99" s="685"/>
    </row>
    <row r="100" spans="1:16" ht="15.6">
      <c r="A100" s="15" t="s">
        <v>58</v>
      </c>
      <c r="B100" s="680" t="s">
        <v>526</v>
      </c>
      <c r="C100" s="681"/>
      <c r="D100" s="681"/>
      <c r="E100" s="681"/>
      <c r="F100" s="681"/>
      <c r="G100" s="681"/>
      <c r="H100" s="681"/>
      <c r="I100" s="681"/>
      <c r="J100" s="681"/>
      <c r="K100" s="681"/>
      <c r="L100" s="681"/>
      <c r="M100" s="682"/>
      <c r="N100" s="683">
        <f>N46*'BASE DE CÁLCULO'!C93</f>
        <v>0.94</v>
      </c>
      <c r="O100" s="684"/>
      <c r="P100" s="685"/>
    </row>
    <row r="101" spans="1:16" ht="15.6">
      <c r="A101" s="633" t="s">
        <v>480</v>
      </c>
      <c r="B101" s="634"/>
      <c r="C101" s="634"/>
      <c r="D101" s="634"/>
      <c r="E101" s="634"/>
      <c r="F101" s="634"/>
      <c r="G101" s="634"/>
      <c r="H101" s="634"/>
      <c r="I101" s="634"/>
      <c r="J101" s="634"/>
      <c r="K101" s="634"/>
      <c r="L101" s="634"/>
      <c r="M101" s="635"/>
      <c r="N101" s="665">
        <f>SUM(N95:P100)</f>
        <v>49.7</v>
      </c>
      <c r="O101" s="666"/>
      <c r="P101" s="667"/>
    </row>
    <row r="102" spans="1:16" ht="15.75" customHeight="1">
      <c r="A102" s="3"/>
      <c r="B102" s="3"/>
      <c r="C102" s="3"/>
      <c r="D102" s="3"/>
      <c r="E102" s="3"/>
      <c r="F102" s="3"/>
      <c r="G102" s="3"/>
      <c r="H102" s="3"/>
      <c r="I102" s="3"/>
      <c r="J102" s="3"/>
      <c r="K102" s="3"/>
      <c r="L102" s="3"/>
      <c r="M102" s="3"/>
      <c r="N102" s="151"/>
      <c r="O102" s="152"/>
      <c r="P102" s="152"/>
    </row>
    <row r="103" spans="1:16" ht="6.75" hidden="1" customHeight="1">
      <c r="A103" s="3"/>
      <c r="B103" s="3"/>
      <c r="C103" s="3"/>
      <c r="D103" s="3"/>
      <c r="E103" s="3"/>
      <c r="F103" s="3"/>
      <c r="G103" s="3"/>
      <c r="H103" s="3"/>
      <c r="I103" s="3"/>
      <c r="J103" s="3"/>
      <c r="K103" s="3"/>
      <c r="L103" s="3"/>
      <c r="M103" s="3"/>
      <c r="N103" s="151"/>
      <c r="O103" s="152"/>
      <c r="P103" s="152"/>
    </row>
    <row r="104" spans="1:16" ht="15.6">
      <c r="A104" s="618" t="s">
        <v>527</v>
      </c>
      <c r="B104" s="619"/>
      <c r="C104" s="619"/>
      <c r="D104" s="619"/>
      <c r="E104" s="619"/>
      <c r="F104" s="619"/>
      <c r="G104" s="619"/>
      <c r="H104" s="619"/>
      <c r="I104" s="619"/>
      <c r="J104" s="619"/>
      <c r="K104" s="619"/>
      <c r="L104" s="619"/>
      <c r="M104" s="619"/>
      <c r="N104" s="690"/>
      <c r="O104" s="690"/>
      <c r="P104" s="691"/>
    </row>
    <row r="105" spans="1:16" ht="13.2">
      <c r="A105" s="688" t="s">
        <v>528</v>
      </c>
      <c r="B105" s="688"/>
      <c r="C105" s="688"/>
      <c r="D105" s="688"/>
      <c r="E105" s="688"/>
      <c r="F105" s="688"/>
      <c r="G105" s="688"/>
      <c r="H105" s="688"/>
      <c r="I105" s="688"/>
      <c r="J105" s="688"/>
      <c r="K105" s="688"/>
      <c r="L105" s="688"/>
      <c r="M105" s="688"/>
      <c r="N105" s="689"/>
      <c r="O105" s="689"/>
      <c r="P105" s="689"/>
    </row>
    <row r="106" spans="1:16" ht="13.2">
      <c r="A106" s="688" t="s">
        <v>529</v>
      </c>
      <c r="B106" s="688"/>
      <c r="C106" s="688"/>
      <c r="D106" s="688"/>
      <c r="E106" s="688"/>
      <c r="F106" s="688"/>
      <c r="G106" s="688"/>
      <c r="H106" s="688"/>
      <c r="I106" s="688"/>
      <c r="J106" s="688"/>
      <c r="K106" s="688"/>
      <c r="L106" s="688"/>
      <c r="M106" s="688"/>
      <c r="N106" s="689"/>
      <c r="O106" s="689"/>
      <c r="P106" s="689"/>
    </row>
    <row r="107" spans="1:16" ht="15.6">
      <c r="A107" s="4"/>
      <c r="B107" s="3"/>
      <c r="C107" s="3"/>
      <c r="D107" s="3"/>
      <c r="E107" s="3"/>
      <c r="F107" s="3"/>
      <c r="G107" s="3"/>
      <c r="H107" s="3"/>
      <c r="I107" s="3"/>
      <c r="J107" s="3"/>
      <c r="K107" s="3"/>
      <c r="L107" s="3"/>
      <c r="M107" s="3"/>
      <c r="N107" s="153"/>
      <c r="O107" s="154"/>
      <c r="P107" s="154"/>
    </row>
    <row r="108" spans="1:16" ht="16.5" customHeight="1">
      <c r="A108" s="618" t="s">
        <v>530</v>
      </c>
      <c r="B108" s="619"/>
      <c r="C108" s="619"/>
      <c r="D108" s="619"/>
      <c r="E108" s="619"/>
      <c r="F108" s="619"/>
      <c r="G108" s="619"/>
      <c r="H108" s="619"/>
      <c r="I108" s="619"/>
      <c r="J108" s="619"/>
      <c r="K108" s="619"/>
      <c r="L108" s="619"/>
      <c r="M108" s="619"/>
      <c r="N108" s="690"/>
      <c r="O108" s="690"/>
      <c r="P108" s="691"/>
    </row>
    <row r="109" spans="1:16" ht="16.5" customHeight="1">
      <c r="A109" s="13" t="s">
        <v>85</v>
      </c>
      <c r="B109" s="618" t="s">
        <v>531</v>
      </c>
      <c r="C109" s="619"/>
      <c r="D109" s="619"/>
      <c r="E109" s="619"/>
      <c r="F109" s="619"/>
      <c r="G109" s="619"/>
      <c r="H109" s="619"/>
      <c r="I109" s="619"/>
      <c r="J109" s="619"/>
      <c r="K109" s="619"/>
      <c r="L109" s="619"/>
      <c r="M109" s="620"/>
      <c r="N109" s="692" t="s">
        <v>51</v>
      </c>
      <c r="O109" s="690"/>
      <c r="P109" s="691"/>
    </row>
    <row r="110" spans="1:16" ht="15.6">
      <c r="A110" s="7" t="s">
        <v>25</v>
      </c>
      <c r="B110" s="680" t="s">
        <v>532</v>
      </c>
      <c r="C110" s="681"/>
      <c r="D110" s="681"/>
      <c r="E110" s="681"/>
      <c r="F110" s="681"/>
      <c r="G110" s="681"/>
      <c r="H110" s="681"/>
      <c r="I110" s="681"/>
      <c r="J110" s="681"/>
      <c r="K110" s="681"/>
      <c r="L110" s="681"/>
      <c r="M110" s="682"/>
      <c r="N110" s="683">
        <f>N46*'BASE DE CÁLCULO'!C94</f>
        <v>178.73</v>
      </c>
      <c r="O110" s="684"/>
      <c r="P110" s="685"/>
    </row>
    <row r="111" spans="1:16" ht="16.5" customHeight="1">
      <c r="A111" s="7" t="s">
        <v>27</v>
      </c>
      <c r="B111" s="680" t="s">
        <v>533</v>
      </c>
      <c r="C111" s="681"/>
      <c r="D111" s="681"/>
      <c r="E111" s="681"/>
      <c r="F111" s="681"/>
      <c r="G111" s="681"/>
      <c r="H111" s="681"/>
      <c r="I111" s="681"/>
      <c r="J111" s="681"/>
      <c r="K111" s="681"/>
      <c r="L111" s="681"/>
      <c r="M111" s="682"/>
      <c r="N111" s="683">
        <f>N46*'BASE DE CÁLCULO'!C97</f>
        <v>17.87</v>
      </c>
      <c r="O111" s="684"/>
      <c r="P111" s="685"/>
    </row>
    <row r="112" spans="1:16" ht="15.6">
      <c r="A112" s="7" t="s">
        <v>30</v>
      </c>
      <c r="B112" s="680" t="s">
        <v>123</v>
      </c>
      <c r="C112" s="681"/>
      <c r="D112" s="681"/>
      <c r="E112" s="681"/>
      <c r="F112" s="681"/>
      <c r="G112" s="681"/>
      <c r="H112" s="681"/>
      <c r="I112" s="681"/>
      <c r="J112" s="681"/>
      <c r="K112" s="681"/>
      <c r="L112" s="681"/>
      <c r="M112" s="682"/>
      <c r="N112" s="683">
        <f>N46*'BASE DE CÁLCULO'!C95</f>
        <v>29.79</v>
      </c>
      <c r="O112" s="684"/>
      <c r="P112" s="685"/>
    </row>
    <row r="113" spans="1:16" ht="16.5" customHeight="1">
      <c r="A113" s="7" t="s">
        <v>32</v>
      </c>
      <c r="B113" s="680" t="s">
        <v>534</v>
      </c>
      <c r="C113" s="681"/>
      <c r="D113" s="681"/>
      <c r="E113" s="681"/>
      <c r="F113" s="681"/>
      <c r="G113" s="681"/>
      <c r="H113" s="681"/>
      <c r="I113" s="681"/>
      <c r="J113" s="681"/>
      <c r="K113" s="681"/>
      <c r="L113" s="681"/>
      <c r="M113" s="682"/>
      <c r="N113" s="683">
        <f>N46*'BASE DE CÁLCULO'!C96</f>
        <v>0.47</v>
      </c>
      <c r="O113" s="684"/>
      <c r="P113" s="685"/>
    </row>
    <row r="114" spans="1:16" ht="16.5" customHeight="1">
      <c r="A114" s="7" t="s">
        <v>56</v>
      </c>
      <c r="B114" s="680" t="s">
        <v>535</v>
      </c>
      <c r="C114" s="681"/>
      <c r="D114" s="681"/>
      <c r="E114" s="681"/>
      <c r="F114" s="681"/>
      <c r="G114" s="681"/>
      <c r="H114" s="681"/>
      <c r="I114" s="681"/>
      <c r="J114" s="681"/>
      <c r="K114" s="681"/>
      <c r="L114" s="681"/>
      <c r="M114" s="682"/>
      <c r="N114" s="683">
        <f>N46*'BASE DE CÁLCULO'!C98</f>
        <v>7.21</v>
      </c>
      <c r="O114" s="684"/>
      <c r="P114" s="685"/>
    </row>
    <row r="115" spans="1:16" ht="16.5" customHeight="1">
      <c r="A115" s="7" t="s">
        <v>58</v>
      </c>
      <c r="B115" s="680" t="s">
        <v>107</v>
      </c>
      <c r="C115" s="681"/>
      <c r="D115" s="681"/>
      <c r="E115" s="681"/>
      <c r="F115" s="681"/>
      <c r="G115" s="681"/>
      <c r="H115" s="681"/>
      <c r="I115" s="681"/>
      <c r="J115" s="681"/>
      <c r="K115" s="681"/>
      <c r="L115" s="681"/>
      <c r="M115" s="682"/>
      <c r="N115" s="683">
        <f>N46*'BASE DE CÁLCULO'!C87</f>
        <v>3.76</v>
      </c>
      <c r="O115" s="684"/>
      <c r="P115" s="685"/>
    </row>
    <row r="116" spans="1:16" ht="16.5" customHeight="1">
      <c r="A116" s="7" t="s">
        <v>60</v>
      </c>
      <c r="B116" s="680" t="s">
        <v>536</v>
      </c>
      <c r="C116" s="681"/>
      <c r="D116" s="681"/>
      <c r="E116" s="681"/>
      <c r="F116" s="681"/>
      <c r="G116" s="681"/>
      <c r="H116" s="681"/>
      <c r="I116" s="681"/>
      <c r="J116" s="681"/>
      <c r="K116" s="681"/>
      <c r="L116" s="681"/>
      <c r="M116" s="682"/>
      <c r="N116" s="683">
        <f>N46*'BASE DE CÁLCULO'!C99</f>
        <v>1.25</v>
      </c>
      <c r="O116" s="684"/>
      <c r="P116" s="685"/>
    </row>
    <row r="117" spans="1:16" ht="15.6">
      <c r="A117" s="633" t="s">
        <v>480</v>
      </c>
      <c r="B117" s="634"/>
      <c r="C117" s="634"/>
      <c r="D117" s="634"/>
      <c r="E117" s="634"/>
      <c r="F117" s="634"/>
      <c r="G117" s="634"/>
      <c r="H117" s="634"/>
      <c r="I117" s="634"/>
      <c r="J117" s="634"/>
      <c r="K117" s="634"/>
      <c r="L117" s="634"/>
      <c r="M117" s="635"/>
      <c r="N117" s="665">
        <f>SUM(N110:P116)</f>
        <v>239.08</v>
      </c>
      <c r="O117" s="666"/>
      <c r="P117" s="667"/>
    </row>
    <row r="118" spans="1:16" ht="13.2">
      <c r="A118" s="697" t="s">
        <v>537</v>
      </c>
      <c r="B118" s="697"/>
      <c r="C118" s="697"/>
      <c r="D118" s="697"/>
      <c r="E118" s="697"/>
      <c r="F118" s="697"/>
      <c r="G118" s="697"/>
      <c r="H118" s="697"/>
      <c r="I118" s="697"/>
      <c r="J118" s="697"/>
      <c r="K118" s="697"/>
      <c r="L118" s="697"/>
      <c r="M118" s="697"/>
      <c r="N118" s="698"/>
      <c r="O118" s="698"/>
      <c r="P118" s="698"/>
    </row>
    <row r="119" spans="1:16" ht="15.6">
      <c r="A119" s="160"/>
      <c r="B119" s="161"/>
      <c r="C119" s="161"/>
      <c r="D119" s="161"/>
      <c r="E119" s="161"/>
      <c r="F119" s="161"/>
      <c r="G119" s="161"/>
      <c r="H119" s="161"/>
      <c r="I119" s="161"/>
      <c r="J119" s="161"/>
      <c r="K119" s="161"/>
      <c r="L119" s="161"/>
      <c r="M119" s="161"/>
      <c r="N119" s="153"/>
      <c r="O119" s="154"/>
      <c r="P119" s="154"/>
    </row>
    <row r="120" spans="1:16" ht="15.6">
      <c r="A120" s="618" t="s">
        <v>538</v>
      </c>
      <c r="B120" s="619"/>
      <c r="C120" s="619"/>
      <c r="D120" s="619"/>
      <c r="E120" s="619"/>
      <c r="F120" s="619"/>
      <c r="G120" s="619"/>
      <c r="H120" s="619"/>
      <c r="I120" s="619"/>
      <c r="J120" s="619"/>
      <c r="K120" s="619"/>
      <c r="L120" s="619"/>
      <c r="M120" s="619"/>
      <c r="N120" s="690"/>
      <c r="O120" s="690"/>
      <c r="P120" s="691"/>
    </row>
    <row r="121" spans="1:16" ht="15.6">
      <c r="A121" s="13" t="s">
        <v>99</v>
      </c>
      <c r="B121" s="618" t="s">
        <v>539</v>
      </c>
      <c r="C121" s="619"/>
      <c r="D121" s="619"/>
      <c r="E121" s="619"/>
      <c r="F121" s="619"/>
      <c r="G121" s="619"/>
      <c r="H121" s="619"/>
      <c r="I121" s="619"/>
      <c r="J121" s="619"/>
      <c r="K121" s="619"/>
      <c r="L121" s="619"/>
      <c r="M121" s="620"/>
      <c r="N121" s="692" t="s">
        <v>51</v>
      </c>
      <c r="O121" s="690"/>
      <c r="P121" s="691"/>
    </row>
    <row r="122" spans="1:16" ht="16.2" customHeight="1">
      <c r="A122" s="7" t="s">
        <v>25</v>
      </c>
      <c r="B122" s="680" t="s">
        <v>540</v>
      </c>
      <c r="C122" s="681"/>
      <c r="D122" s="681"/>
      <c r="E122" s="681"/>
      <c r="F122" s="681"/>
      <c r="G122" s="681"/>
      <c r="H122" s="681"/>
      <c r="I122" s="681"/>
      <c r="J122" s="681"/>
      <c r="K122" s="681"/>
      <c r="L122" s="681"/>
      <c r="M122" s="682"/>
      <c r="N122" s="683">
        <f>0</f>
        <v>0</v>
      </c>
      <c r="O122" s="684"/>
      <c r="P122" s="685"/>
    </row>
    <row r="123" spans="1:16" ht="15.6">
      <c r="A123" s="633" t="s">
        <v>480</v>
      </c>
      <c r="B123" s="634"/>
      <c r="C123" s="634"/>
      <c r="D123" s="634"/>
      <c r="E123" s="634"/>
      <c r="F123" s="634"/>
      <c r="G123" s="634"/>
      <c r="H123" s="634"/>
      <c r="I123" s="634"/>
      <c r="J123" s="634"/>
      <c r="K123" s="634"/>
      <c r="L123" s="634"/>
      <c r="M123" s="635"/>
      <c r="N123" s="665">
        <f>SUM(N122)</f>
        <v>0</v>
      </c>
      <c r="O123" s="666"/>
      <c r="P123" s="667"/>
    </row>
    <row r="124" spans="1:16" ht="16.5" customHeight="1">
      <c r="A124" s="686" t="s">
        <v>541</v>
      </c>
      <c r="B124" s="686"/>
      <c r="C124" s="686"/>
      <c r="D124" s="686"/>
      <c r="E124" s="686"/>
      <c r="F124" s="686"/>
      <c r="G124" s="686"/>
      <c r="H124" s="686"/>
      <c r="I124" s="686"/>
      <c r="J124" s="686"/>
      <c r="K124" s="686"/>
      <c r="L124" s="686"/>
      <c r="M124" s="686"/>
      <c r="N124" s="687"/>
      <c r="O124" s="687"/>
      <c r="P124" s="687"/>
    </row>
    <row r="125" spans="1:16" ht="15.6">
      <c r="A125" s="4"/>
      <c r="B125" s="3"/>
      <c r="C125" s="3"/>
      <c r="D125" s="3"/>
      <c r="E125" s="3"/>
      <c r="F125" s="3"/>
      <c r="G125" s="3"/>
      <c r="H125" s="3"/>
      <c r="I125" s="3"/>
      <c r="J125" s="3"/>
      <c r="K125" s="3"/>
      <c r="L125" s="3"/>
      <c r="M125" s="3"/>
      <c r="N125" s="153"/>
      <c r="O125" s="154"/>
      <c r="P125" s="154"/>
    </row>
    <row r="126" spans="1:16" ht="15.6">
      <c r="A126" s="618" t="s">
        <v>542</v>
      </c>
      <c r="B126" s="619"/>
      <c r="C126" s="619"/>
      <c r="D126" s="619"/>
      <c r="E126" s="619"/>
      <c r="F126" s="619"/>
      <c r="G126" s="619"/>
      <c r="H126" s="619"/>
      <c r="I126" s="619"/>
      <c r="J126" s="619"/>
      <c r="K126" s="619"/>
      <c r="L126" s="619"/>
      <c r="M126" s="619"/>
      <c r="N126" s="690"/>
      <c r="O126" s="690"/>
      <c r="P126" s="691"/>
    </row>
    <row r="127" spans="1:16" ht="15.6">
      <c r="A127" s="13">
        <v>4</v>
      </c>
      <c r="B127" s="618" t="s">
        <v>543</v>
      </c>
      <c r="C127" s="619"/>
      <c r="D127" s="619"/>
      <c r="E127" s="619"/>
      <c r="F127" s="619"/>
      <c r="G127" s="619"/>
      <c r="H127" s="619"/>
      <c r="I127" s="619"/>
      <c r="J127" s="619"/>
      <c r="K127" s="619"/>
      <c r="L127" s="619"/>
      <c r="M127" s="620"/>
      <c r="N127" s="692" t="s">
        <v>51</v>
      </c>
      <c r="O127" s="690"/>
      <c r="P127" s="691"/>
    </row>
    <row r="128" spans="1:16" ht="15.6">
      <c r="A128" s="13" t="s">
        <v>85</v>
      </c>
      <c r="B128" s="680" t="s">
        <v>533</v>
      </c>
      <c r="C128" s="681"/>
      <c r="D128" s="681"/>
      <c r="E128" s="681"/>
      <c r="F128" s="681"/>
      <c r="G128" s="681"/>
      <c r="H128" s="681"/>
      <c r="I128" s="681"/>
      <c r="J128" s="681"/>
      <c r="K128" s="681"/>
      <c r="L128" s="681"/>
      <c r="M128" s="682"/>
      <c r="N128" s="683">
        <f>N117</f>
        <v>239.08</v>
      </c>
      <c r="O128" s="684"/>
      <c r="P128" s="685"/>
    </row>
    <row r="129" spans="1:16" ht="15.6">
      <c r="A129" s="21" t="s">
        <v>99</v>
      </c>
      <c r="B129" s="680" t="s">
        <v>544</v>
      </c>
      <c r="C129" s="681"/>
      <c r="D129" s="681"/>
      <c r="E129" s="681"/>
      <c r="F129" s="681"/>
      <c r="G129" s="681"/>
      <c r="H129" s="681"/>
      <c r="I129" s="681"/>
      <c r="J129" s="681"/>
      <c r="K129" s="681"/>
      <c r="L129" s="681"/>
      <c r="M129" s="682"/>
      <c r="N129" s="683" t="s">
        <v>12</v>
      </c>
      <c r="O129" s="684"/>
      <c r="P129" s="685"/>
    </row>
    <row r="130" spans="1:16" ht="15.6">
      <c r="A130" s="633" t="s">
        <v>480</v>
      </c>
      <c r="B130" s="634"/>
      <c r="C130" s="634"/>
      <c r="D130" s="634"/>
      <c r="E130" s="634"/>
      <c r="F130" s="634"/>
      <c r="G130" s="634"/>
      <c r="H130" s="634"/>
      <c r="I130" s="634"/>
      <c r="J130" s="634"/>
      <c r="K130" s="634"/>
      <c r="L130" s="634"/>
      <c r="M130" s="635"/>
      <c r="N130" s="665">
        <f>SUM(N128:P129)</f>
        <v>239.08</v>
      </c>
      <c r="O130" s="666"/>
      <c r="P130" s="667"/>
    </row>
    <row r="131" spans="1:16" ht="15.6">
      <c r="A131" s="22"/>
      <c r="B131" s="3"/>
      <c r="C131" s="3"/>
      <c r="D131" s="3"/>
      <c r="E131" s="3"/>
      <c r="F131" s="3"/>
      <c r="G131" s="3"/>
      <c r="H131" s="3"/>
      <c r="I131" s="3"/>
      <c r="J131" s="3"/>
      <c r="K131" s="3"/>
      <c r="L131" s="3"/>
      <c r="M131" s="3"/>
      <c r="N131" s="155"/>
      <c r="O131" s="24"/>
      <c r="P131" s="25"/>
    </row>
    <row r="132" spans="1:16" ht="15.6">
      <c r="A132" s="618" t="s">
        <v>545</v>
      </c>
      <c r="B132" s="619"/>
      <c r="C132" s="619"/>
      <c r="D132" s="619"/>
      <c r="E132" s="619"/>
      <c r="F132" s="619"/>
      <c r="G132" s="619"/>
      <c r="H132" s="619"/>
      <c r="I132" s="619"/>
      <c r="J132" s="619"/>
      <c r="K132" s="619"/>
      <c r="L132" s="619"/>
      <c r="M132" s="619"/>
      <c r="N132" s="690"/>
      <c r="O132" s="690"/>
      <c r="P132" s="691"/>
    </row>
    <row r="133" spans="1:16" ht="15.6">
      <c r="A133" s="13">
        <v>5</v>
      </c>
      <c r="B133" s="618" t="s">
        <v>77</v>
      </c>
      <c r="C133" s="619"/>
      <c r="D133" s="619"/>
      <c r="E133" s="619"/>
      <c r="F133" s="619"/>
      <c r="G133" s="619"/>
      <c r="H133" s="619"/>
      <c r="I133" s="619"/>
      <c r="J133" s="619"/>
      <c r="K133" s="619"/>
      <c r="L133" s="619"/>
      <c r="M133" s="620"/>
      <c r="N133" s="692" t="s">
        <v>51</v>
      </c>
      <c r="O133" s="690"/>
      <c r="P133" s="691"/>
    </row>
    <row r="134" spans="1:16" ht="15.6">
      <c r="A134" s="7" t="s">
        <v>25</v>
      </c>
      <c r="B134" s="680" t="s">
        <v>546</v>
      </c>
      <c r="C134" s="681"/>
      <c r="D134" s="681"/>
      <c r="E134" s="681"/>
      <c r="F134" s="681"/>
      <c r="G134" s="681"/>
      <c r="H134" s="681"/>
      <c r="I134" s="681"/>
      <c r="J134" s="681"/>
      <c r="K134" s="681"/>
      <c r="L134" s="681"/>
      <c r="M134" s="682"/>
      <c r="N134" s="683">
        <f>'BASE DE CÁLCULO'!O23</f>
        <v>101.27</v>
      </c>
      <c r="O134" s="684"/>
      <c r="P134" s="685"/>
    </row>
    <row r="135" spans="1:16" ht="15.6">
      <c r="A135" s="7" t="s">
        <v>27</v>
      </c>
      <c r="B135" s="680" t="s">
        <v>547</v>
      </c>
      <c r="C135" s="681"/>
      <c r="D135" s="681"/>
      <c r="E135" s="681"/>
      <c r="F135" s="681"/>
      <c r="G135" s="681"/>
      <c r="H135" s="681"/>
      <c r="I135" s="681"/>
      <c r="J135" s="681"/>
      <c r="K135" s="681"/>
      <c r="L135" s="681"/>
      <c r="M135" s="682"/>
      <c r="N135" s="683" t="str">
        <f>'BASE DE CÁLCULO'!P23</f>
        <v>-</v>
      </c>
      <c r="O135" s="684"/>
      <c r="P135" s="685"/>
    </row>
    <row r="136" spans="1:16" ht="15.6">
      <c r="A136" s="15" t="s">
        <v>30</v>
      </c>
      <c r="B136" s="680" t="s">
        <v>479</v>
      </c>
      <c r="C136" s="681"/>
      <c r="D136" s="681"/>
      <c r="E136" s="681"/>
      <c r="F136" s="681"/>
      <c r="G136" s="681"/>
      <c r="H136" s="681"/>
      <c r="I136" s="681"/>
      <c r="J136" s="681"/>
      <c r="K136" s="681"/>
      <c r="L136" s="681"/>
      <c r="M136" s="682"/>
      <c r="N136" s="683">
        <f>0</f>
        <v>0</v>
      </c>
      <c r="O136" s="684"/>
      <c r="P136" s="685"/>
    </row>
    <row r="137" spans="1:16" ht="15.6">
      <c r="A137" s="633" t="s">
        <v>480</v>
      </c>
      <c r="B137" s="634"/>
      <c r="C137" s="634"/>
      <c r="D137" s="634"/>
      <c r="E137" s="634"/>
      <c r="F137" s="634"/>
      <c r="G137" s="634"/>
      <c r="H137" s="634"/>
      <c r="I137" s="634"/>
      <c r="J137" s="634"/>
      <c r="K137" s="634"/>
      <c r="L137" s="634"/>
      <c r="M137" s="635"/>
      <c r="N137" s="665">
        <f>SUM(N134:P136)</f>
        <v>101.27</v>
      </c>
      <c r="O137" s="666"/>
      <c r="P137" s="667"/>
    </row>
    <row r="138" spans="1:16" ht="13.2">
      <c r="A138" s="686" t="s">
        <v>548</v>
      </c>
      <c r="B138" s="686"/>
      <c r="C138" s="686"/>
      <c r="D138" s="686"/>
      <c r="E138" s="686"/>
      <c r="F138" s="686"/>
      <c r="G138" s="686"/>
      <c r="H138" s="686"/>
      <c r="I138" s="686"/>
      <c r="J138" s="686"/>
      <c r="K138" s="686"/>
      <c r="L138" s="686"/>
      <c r="M138" s="686"/>
      <c r="N138" s="687"/>
      <c r="O138" s="687"/>
      <c r="P138" s="687"/>
    </row>
    <row r="139" spans="1:16" ht="15.6">
      <c r="A139" s="4"/>
      <c r="B139" s="3"/>
      <c r="C139" s="3"/>
      <c r="D139" s="3"/>
      <c r="E139" s="3"/>
      <c r="F139" s="3"/>
      <c r="G139" s="3"/>
      <c r="H139" s="3"/>
      <c r="I139" s="3"/>
      <c r="J139" s="3"/>
      <c r="K139" s="3"/>
      <c r="L139" s="3"/>
      <c r="M139" s="3"/>
      <c r="N139" s="153"/>
      <c r="O139" s="154"/>
      <c r="P139" s="154"/>
    </row>
    <row r="140" spans="1:16" ht="16.5" customHeight="1">
      <c r="A140" s="618" t="s">
        <v>549</v>
      </c>
      <c r="B140" s="619"/>
      <c r="C140" s="619"/>
      <c r="D140" s="619"/>
      <c r="E140" s="619"/>
      <c r="F140" s="619"/>
      <c r="G140" s="619"/>
      <c r="H140" s="619"/>
      <c r="I140" s="619"/>
      <c r="J140" s="619"/>
      <c r="K140" s="619"/>
      <c r="L140" s="619"/>
      <c r="M140" s="619"/>
      <c r="N140" s="690"/>
      <c r="O140" s="690"/>
      <c r="P140" s="691"/>
    </row>
    <row r="141" spans="1:16" ht="16.5" customHeight="1">
      <c r="A141" s="13">
        <v>6</v>
      </c>
      <c r="B141" s="618" t="s">
        <v>137</v>
      </c>
      <c r="C141" s="619"/>
      <c r="D141" s="619"/>
      <c r="E141" s="619"/>
      <c r="F141" s="619"/>
      <c r="G141" s="619"/>
      <c r="H141" s="619"/>
      <c r="I141" s="619"/>
      <c r="J141" s="619"/>
      <c r="K141" s="620"/>
      <c r="L141" s="618" t="s">
        <v>493</v>
      </c>
      <c r="M141" s="620"/>
      <c r="N141" s="692" t="s">
        <v>51</v>
      </c>
      <c r="O141" s="690"/>
      <c r="P141" s="691"/>
    </row>
    <row r="142" spans="1:16" ht="16.5" customHeight="1">
      <c r="A142" s="7" t="s">
        <v>25</v>
      </c>
      <c r="B142" s="680" t="s">
        <v>550</v>
      </c>
      <c r="C142" s="681"/>
      <c r="D142" s="681"/>
      <c r="E142" s="681"/>
      <c r="F142" s="681"/>
      <c r="G142" s="681"/>
      <c r="H142" s="681"/>
      <c r="I142" s="681"/>
      <c r="J142" s="681"/>
      <c r="K142" s="682"/>
      <c r="L142" s="693">
        <f>'BASE DE CÁLCULO'!C63</f>
        <v>0.05</v>
      </c>
      <c r="M142" s="626"/>
      <c r="N142" s="683">
        <f>N159*L142</f>
        <v>183.74</v>
      </c>
      <c r="O142" s="684"/>
      <c r="P142" s="685"/>
    </row>
    <row r="143" spans="1:16" ht="15.6">
      <c r="A143" s="7" t="s">
        <v>27</v>
      </c>
      <c r="B143" s="680" t="s">
        <v>551</v>
      </c>
      <c r="C143" s="681"/>
      <c r="D143" s="681"/>
      <c r="E143" s="681"/>
      <c r="F143" s="681"/>
      <c r="G143" s="681"/>
      <c r="H143" s="681"/>
      <c r="I143" s="681"/>
      <c r="J143" s="681"/>
      <c r="K143" s="682"/>
      <c r="L143" s="693">
        <f>'BASE DE CÁLCULO'!C64</f>
        <v>0.1</v>
      </c>
      <c r="M143" s="626"/>
      <c r="N143" s="683">
        <f>(N159+N142)*L143</f>
        <v>385.85</v>
      </c>
      <c r="O143" s="684"/>
      <c r="P143" s="685"/>
    </row>
    <row r="144" spans="1:16" ht="16.5" customHeight="1">
      <c r="A144" s="7" t="s">
        <v>30</v>
      </c>
      <c r="B144" s="633" t="s">
        <v>552</v>
      </c>
      <c r="C144" s="634"/>
      <c r="D144" s="634"/>
      <c r="E144" s="634"/>
      <c r="F144" s="634"/>
      <c r="G144" s="634"/>
      <c r="H144" s="634"/>
      <c r="I144" s="634"/>
      <c r="J144" s="634"/>
      <c r="K144" s="635"/>
      <c r="L144" s="694">
        <f>SUM(L145:M147)</f>
        <v>0.14249999999999999</v>
      </c>
      <c r="M144" s="620"/>
      <c r="N144" s="665"/>
      <c r="O144" s="666"/>
      <c r="P144" s="667"/>
    </row>
    <row r="145" spans="1:17" ht="16.5" customHeight="1">
      <c r="A145" s="7"/>
      <c r="B145" s="680" t="s">
        <v>553</v>
      </c>
      <c r="C145" s="681"/>
      <c r="D145" s="681"/>
      <c r="E145" s="681"/>
      <c r="F145" s="681"/>
      <c r="G145" s="681"/>
      <c r="H145" s="681"/>
      <c r="I145" s="681"/>
      <c r="J145" s="681"/>
      <c r="K145" s="682"/>
      <c r="L145" s="693">
        <f>SUM('BASE DE CÁLCULO'!C66:C67)</f>
        <v>9.2499999999999999E-2</v>
      </c>
      <c r="M145" s="626"/>
      <c r="N145" s="683">
        <f>(($N$159+$N$142+$N$143)/(100%-$L$144))*L145</f>
        <v>457.84</v>
      </c>
      <c r="O145" s="684"/>
      <c r="P145" s="685"/>
    </row>
    <row r="146" spans="1:17" ht="16.5" customHeight="1">
      <c r="A146" s="7"/>
      <c r="B146" s="680" t="s">
        <v>554</v>
      </c>
      <c r="C146" s="681"/>
      <c r="D146" s="681"/>
      <c r="E146" s="681"/>
      <c r="F146" s="681"/>
      <c r="G146" s="681"/>
      <c r="H146" s="681"/>
      <c r="I146" s="681"/>
      <c r="J146" s="681"/>
      <c r="K146" s="682"/>
      <c r="L146" s="695">
        <f>0</f>
        <v>0</v>
      </c>
      <c r="M146" s="696"/>
      <c r="N146" s="683">
        <f>(($N$159+$N$142+$N$143)/(100%-$L$144))*L146</f>
        <v>0</v>
      </c>
      <c r="O146" s="684"/>
      <c r="P146" s="685"/>
    </row>
    <row r="147" spans="1:17" ht="16.5" customHeight="1">
      <c r="A147" s="7"/>
      <c r="B147" s="680" t="s">
        <v>555</v>
      </c>
      <c r="C147" s="681"/>
      <c r="D147" s="681"/>
      <c r="E147" s="681"/>
      <c r="F147" s="681"/>
      <c r="G147" s="681"/>
      <c r="H147" s="681"/>
      <c r="I147" s="681"/>
      <c r="J147" s="681"/>
      <c r="K147" s="682"/>
      <c r="L147" s="693">
        <f>'BASE DE CÁLCULO'!C69</f>
        <v>0.05</v>
      </c>
      <c r="M147" s="626"/>
      <c r="N147" s="683">
        <f>(($N$159+$N$142+$N$143)/(100%-$L$144))*L147</f>
        <v>247.48</v>
      </c>
      <c r="O147" s="684"/>
      <c r="P147" s="685"/>
    </row>
    <row r="148" spans="1:17" ht="15.6">
      <c r="A148" s="633" t="s">
        <v>480</v>
      </c>
      <c r="B148" s="634"/>
      <c r="C148" s="634"/>
      <c r="D148" s="634"/>
      <c r="E148" s="634"/>
      <c r="F148" s="634"/>
      <c r="G148" s="634"/>
      <c r="H148" s="634"/>
      <c r="I148" s="634"/>
      <c r="J148" s="634"/>
      <c r="K148" s="635"/>
      <c r="L148" s="694">
        <f>SUM(L142:M144)</f>
        <v>0.29249999999999998</v>
      </c>
      <c r="M148" s="620"/>
      <c r="N148" s="665">
        <f>SUM(N142:P147)</f>
        <v>1274.9100000000001</v>
      </c>
      <c r="O148" s="666"/>
      <c r="P148" s="667"/>
      <c r="Q148" s="26"/>
    </row>
    <row r="149" spans="1:17" ht="13.2">
      <c r="A149" s="686" t="s">
        <v>556</v>
      </c>
      <c r="B149" s="686"/>
      <c r="C149" s="686"/>
      <c r="D149" s="686"/>
      <c r="E149" s="686"/>
      <c r="F149" s="686"/>
      <c r="G149" s="686"/>
      <c r="H149" s="686"/>
      <c r="I149" s="686"/>
      <c r="J149" s="686"/>
      <c r="K149" s="686"/>
      <c r="L149" s="686"/>
      <c r="M149" s="686"/>
      <c r="N149" s="687"/>
      <c r="O149" s="687"/>
      <c r="P149" s="687"/>
    </row>
    <row r="150" spans="1:17" ht="13.2">
      <c r="A150" s="688" t="s">
        <v>557</v>
      </c>
      <c r="B150" s="688"/>
      <c r="C150" s="688"/>
      <c r="D150" s="688"/>
      <c r="E150" s="688"/>
      <c r="F150" s="688"/>
      <c r="G150" s="688"/>
      <c r="H150" s="688"/>
      <c r="I150" s="688"/>
      <c r="J150" s="688"/>
      <c r="K150" s="688"/>
      <c r="L150" s="688"/>
      <c r="M150" s="688"/>
      <c r="N150" s="689"/>
      <c r="O150" s="689"/>
      <c r="P150" s="689"/>
    </row>
    <row r="151" spans="1:17" ht="15.6">
      <c r="A151" s="3"/>
      <c r="B151" s="3"/>
      <c r="C151" s="3"/>
      <c r="D151" s="3"/>
      <c r="E151" s="3"/>
      <c r="F151" s="3"/>
      <c r="G151" s="3"/>
      <c r="H151" s="3"/>
      <c r="I151" s="3"/>
      <c r="J151" s="3"/>
      <c r="K151" s="3"/>
      <c r="L151" s="3"/>
      <c r="M151" s="3"/>
      <c r="N151" s="156"/>
      <c r="O151" s="157"/>
      <c r="P151" s="157"/>
    </row>
    <row r="152" spans="1:17" ht="15.6">
      <c r="A152" s="618" t="s">
        <v>558</v>
      </c>
      <c r="B152" s="619"/>
      <c r="C152" s="619"/>
      <c r="D152" s="619"/>
      <c r="E152" s="619"/>
      <c r="F152" s="619"/>
      <c r="G152" s="619"/>
      <c r="H152" s="619"/>
      <c r="I152" s="619"/>
      <c r="J152" s="619"/>
      <c r="K152" s="619"/>
      <c r="L152" s="619"/>
      <c r="M152" s="619"/>
      <c r="N152" s="690"/>
      <c r="O152" s="690"/>
      <c r="P152" s="691"/>
    </row>
    <row r="153" spans="1:17" ht="15.6">
      <c r="A153" s="23"/>
      <c r="B153" s="618" t="s">
        <v>559</v>
      </c>
      <c r="C153" s="619"/>
      <c r="D153" s="619"/>
      <c r="E153" s="619"/>
      <c r="F153" s="619"/>
      <c r="G153" s="619"/>
      <c r="H153" s="619"/>
      <c r="I153" s="619"/>
      <c r="J153" s="619"/>
      <c r="K153" s="619"/>
      <c r="L153" s="619"/>
      <c r="M153" s="620"/>
      <c r="N153" s="692" t="s">
        <v>51</v>
      </c>
      <c r="O153" s="690"/>
      <c r="P153" s="691"/>
    </row>
    <row r="154" spans="1:17" ht="15.6">
      <c r="A154" s="7" t="s">
        <v>25</v>
      </c>
      <c r="B154" s="680" t="s">
        <v>560</v>
      </c>
      <c r="C154" s="681"/>
      <c r="D154" s="681"/>
      <c r="E154" s="681"/>
      <c r="F154" s="681"/>
      <c r="G154" s="681"/>
      <c r="H154" s="681"/>
      <c r="I154" s="681"/>
      <c r="J154" s="681"/>
      <c r="K154" s="681"/>
      <c r="L154" s="681"/>
      <c r="M154" s="682"/>
      <c r="N154" s="683">
        <f>N46</f>
        <v>1567.81</v>
      </c>
      <c r="O154" s="684"/>
      <c r="P154" s="685"/>
    </row>
    <row r="155" spans="1:17" ht="15.6">
      <c r="A155" s="7" t="s">
        <v>27</v>
      </c>
      <c r="B155" s="680" t="s">
        <v>561</v>
      </c>
      <c r="C155" s="681"/>
      <c r="D155" s="681"/>
      <c r="E155" s="681"/>
      <c r="F155" s="681"/>
      <c r="G155" s="681"/>
      <c r="H155" s="681"/>
      <c r="I155" s="681"/>
      <c r="J155" s="681"/>
      <c r="K155" s="681"/>
      <c r="L155" s="681"/>
      <c r="M155" s="682"/>
      <c r="N155" s="683">
        <f>N91</f>
        <v>1716.87</v>
      </c>
      <c r="O155" s="684"/>
      <c r="P155" s="685"/>
    </row>
    <row r="156" spans="1:17" ht="15.6">
      <c r="A156" s="7" t="s">
        <v>30</v>
      </c>
      <c r="B156" s="680" t="s">
        <v>562</v>
      </c>
      <c r="C156" s="681"/>
      <c r="D156" s="681"/>
      <c r="E156" s="681"/>
      <c r="F156" s="681"/>
      <c r="G156" s="681"/>
      <c r="H156" s="681"/>
      <c r="I156" s="681"/>
      <c r="J156" s="681"/>
      <c r="K156" s="681"/>
      <c r="L156" s="681"/>
      <c r="M156" s="682"/>
      <c r="N156" s="683">
        <f>N101</f>
        <v>49.7</v>
      </c>
      <c r="O156" s="684"/>
      <c r="P156" s="685"/>
    </row>
    <row r="157" spans="1:17" ht="15.6">
      <c r="A157" s="7" t="s">
        <v>32</v>
      </c>
      <c r="B157" s="680" t="s">
        <v>563</v>
      </c>
      <c r="C157" s="681"/>
      <c r="D157" s="681"/>
      <c r="E157" s="681"/>
      <c r="F157" s="681"/>
      <c r="G157" s="681"/>
      <c r="H157" s="681"/>
      <c r="I157" s="681"/>
      <c r="J157" s="681"/>
      <c r="K157" s="681"/>
      <c r="L157" s="681"/>
      <c r="M157" s="682"/>
      <c r="N157" s="683">
        <f>N130</f>
        <v>239.08</v>
      </c>
      <c r="O157" s="684"/>
      <c r="P157" s="685"/>
    </row>
    <row r="158" spans="1:17" ht="15.6">
      <c r="A158" s="7" t="s">
        <v>56</v>
      </c>
      <c r="B158" s="680" t="s">
        <v>564</v>
      </c>
      <c r="C158" s="681"/>
      <c r="D158" s="681"/>
      <c r="E158" s="681"/>
      <c r="F158" s="681"/>
      <c r="G158" s="681"/>
      <c r="H158" s="681"/>
      <c r="I158" s="681"/>
      <c r="J158" s="681"/>
      <c r="K158" s="681"/>
      <c r="L158" s="681"/>
      <c r="M158" s="682"/>
      <c r="N158" s="683">
        <f>N137</f>
        <v>101.27</v>
      </c>
      <c r="O158" s="684"/>
      <c r="P158" s="685"/>
    </row>
    <row r="159" spans="1:17" ht="15.6">
      <c r="A159" s="633" t="s">
        <v>565</v>
      </c>
      <c r="B159" s="634"/>
      <c r="C159" s="634"/>
      <c r="D159" s="634"/>
      <c r="E159" s="634"/>
      <c r="F159" s="634"/>
      <c r="G159" s="634"/>
      <c r="H159" s="634"/>
      <c r="I159" s="634"/>
      <c r="J159" s="634"/>
      <c r="K159" s="634"/>
      <c r="L159" s="634"/>
      <c r="M159" s="635"/>
      <c r="N159" s="665">
        <f>SUM(N154:P158)</f>
        <v>3674.73</v>
      </c>
      <c r="O159" s="666"/>
      <c r="P159" s="667"/>
    </row>
    <row r="160" spans="1:17" ht="15.6">
      <c r="A160" s="7" t="s">
        <v>58</v>
      </c>
      <c r="B160" s="680" t="s">
        <v>566</v>
      </c>
      <c r="C160" s="681"/>
      <c r="D160" s="681"/>
      <c r="E160" s="681"/>
      <c r="F160" s="681"/>
      <c r="G160" s="681"/>
      <c r="H160" s="681"/>
      <c r="I160" s="681"/>
      <c r="J160" s="681"/>
      <c r="K160" s="681"/>
      <c r="L160" s="681"/>
      <c r="M160" s="682"/>
      <c r="N160" s="683">
        <f>N148</f>
        <v>1274.9100000000001</v>
      </c>
      <c r="O160" s="684"/>
      <c r="P160" s="685"/>
    </row>
    <row r="161" spans="1:16" ht="15.6">
      <c r="A161" s="633" t="s">
        <v>567</v>
      </c>
      <c r="B161" s="634"/>
      <c r="C161" s="634"/>
      <c r="D161" s="634"/>
      <c r="E161" s="634"/>
      <c r="F161" s="634"/>
      <c r="G161" s="634"/>
      <c r="H161" s="634"/>
      <c r="I161" s="634"/>
      <c r="J161" s="634"/>
      <c r="K161" s="634"/>
      <c r="L161" s="634"/>
      <c r="M161" s="635"/>
      <c r="N161" s="665">
        <f>SUM(N159:P160)</f>
        <v>4949.6400000000003</v>
      </c>
      <c r="O161" s="666"/>
      <c r="P161" s="667"/>
    </row>
    <row r="162" spans="1:16" ht="15.6">
      <c r="A162" s="633" t="s">
        <v>568</v>
      </c>
      <c r="B162" s="634"/>
      <c r="C162" s="634"/>
      <c r="D162" s="634"/>
      <c r="E162" s="634"/>
      <c r="F162" s="634"/>
      <c r="G162" s="634"/>
      <c r="H162" s="634"/>
      <c r="I162" s="634"/>
      <c r="J162" s="634"/>
      <c r="K162" s="634"/>
      <c r="L162" s="634"/>
      <c r="M162" s="635"/>
      <c r="N162" s="665">
        <f>N161*N20</f>
        <v>9899.2800000000007</v>
      </c>
      <c r="O162" s="666"/>
      <c r="P162" s="667"/>
    </row>
  </sheetData>
  <mergeCells count="260">
    <mergeCell ref="A2:P2"/>
    <mergeCell ref="A4:C4"/>
    <mergeCell ref="D4:P4"/>
    <mergeCell ref="A5:C5"/>
    <mergeCell ref="D5:P5"/>
    <mergeCell ref="A7:P7"/>
    <mergeCell ref="A9:P9"/>
    <mergeCell ref="B11:M11"/>
    <mergeCell ref="N11:P11"/>
    <mergeCell ref="B12:M12"/>
    <mergeCell ref="N12:P12"/>
    <mergeCell ref="B13:M13"/>
    <mergeCell ref="N13:P13"/>
    <mergeCell ref="B14:M14"/>
    <mergeCell ref="N14:P14"/>
    <mergeCell ref="A16:P16"/>
    <mergeCell ref="A20:D20"/>
    <mergeCell ref="E20:M20"/>
    <mergeCell ref="N20:P20"/>
    <mergeCell ref="A21:D21"/>
    <mergeCell ref="E21:M21"/>
    <mergeCell ref="N21:P21"/>
    <mergeCell ref="A22:D22"/>
    <mergeCell ref="E22:M22"/>
    <mergeCell ref="N22:P22"/>
    <mergeCell ref="A23:P23"/>
    <mergeCell ref="A25:P25"/>
    <mergeCell ref="A26:P26"/>
    <mergeCell ref="A27:P27"/>
    <mergeCell ref="A28:P28"/>
    <mergeCell ref="A29:P29"/>
    <mergeCell ref="B30:M30"/>
    <mergeCell ref="N30:P30"/>
    <mergeCell ref="B31:M31"/>
    <mergeCell ref="N31:P31"/>
    <mergeCell ref="B32:M32"/>
    <mergeCell ref="N32:P32"/>
    <mergeCell ref="B33:M33"/>
    <mergeCell ref="N33:P33"/>
    <mergeCell ref="B34:M34"/>
    <mergeCell ref="N34:P34"/>
    <mergeCell ref="A35:P35"/>
    <mergeCell ref="A37:P37"/>
    <mergeCell ref="B38:M38"/>
    <mergeCell ref="N38:P38"/>
    <mergeCell ref="B39:M39"/>
    <mergeCell ref="N39:P39"/>
    <mergeCell ref="B40:M40"/>
    <mergeCell ref="N40:P40"/>
    <mergeCell ref="B41:M41"/>
    <mergeCell ref="N41:P41"/>
    <mergeCell ref="B42:M42"/>
    <mergeCell ref="N42:P42"/>
    <mergeCell ref="B43:M43"/>
    <mergeCell ref="N43:P43"/>
    <mergeCell ref="B44:M44"/>
    <mergeCell ref="N44:P44"/>
    <mergeCell ref="B45:M45"/>
    <mergeCell ref="N45:P45"/>
    <mergeCell ref="A46:M46"/>
    <mergeCell ref="N46:P46"/>
    <mergeCell ref="A47:P47"/>
    <mergeCell ref="A49:P49"/>
    <mergeCell ref="A50:P50"/>
    <mergeCell ref="B51:M51"/>
    <mergeCell ref="N51:P51"/>
    <mergeCell ref="B52:M52"/>
    <mergeCell ref="N52:P52"/>
    <mergeCell ref="B53:M53"/>
    <mergeCell ref="N53:P53"/>
    <mergeCell ref="A54:M54"/>
    <mergeCell ref="N54:P54"/>
    <mergeCell ref="A55:P55"/>
    <mergeCell ref="A56:P56"/>
    <mergeCell ref="A58:P58"/>
    <mergeCell ref="B59:K59"/>
    <mergeCell ref="L59:M59"/>
    <mergeCell ref="N59:P59"/>
    <mergeCell ref="B60:K60"/>
    <mergeCell ref="L60:M60"/>
    <mergeCell ref="N60:P60"/>
    <mergeCell ref="B61:K61"/>
    <mergeCell ref="L61:M61"/>
    <mergeCell ref="N61:P61"/>
    <mergeCell ref="B62:K62"/>
    <mergeCell ref="L62:M62"/>
    <mergeCell ref="N62:P62"/>
    <mergeCell ref="B63:K63"/>
    <mergeCell ref="L63:M63"/>
    <mergeCell ref="N63:P63"/>
    <mergeCell ref="B64:K64"/>
    <mergeCell ref="L64:M64"/>
    <mergeCell ref="N64:P64"/>
    <mergeCell ref="B65:K65"/>
    <mergeCell ref="L65:M65"/>
    <mergeCell ref="N65:P65"/>
    <mergeCell ref="B66:K66"/>
    <mergeCell ref="L66:M66"/>
    <mergeCell ref="N66:P66"/>
    <mergeCell ref="B67:K67"/>
    <mergeCell ref="L67:M67"/>
    <mergeCell ref="N67:P67"/>
    <mergeCell ref="A68:K68"/>
    <mergeCell ref="L68:M68"/>
    <mergeCell ref="N68:P68"/>
    <mergeCell ref="A69:P69"/>
    <mergeCell ref="A70:P70"/>
    <mergeCell ref="A71:P71"/>
    <mergeCell ref="A73:P73"/>
    <mergeCell ref="B74:M74"/>
    <mergeCell ref="N74:P74"/>
    <mergeCell ref="B75:M75"/>
    <mergeCell ref="N75:P75"/>
    <mergeCell ref="B76:M76"/>
    <mergeCell ref="N76:P76"/>
    <mergeCell ref="B77:M77"/>
    <mergeCell ref="N77:P77"/>
    <mergeCell ref="B78:M78"/>
    <mergeCell ref="N78:P78"/>
    <mergeCell ref="B79:M79"/>
    <mergeCell ref="N79:P79"/>
    <mergeCell ref="B80:M80"/>
    <mergeCell ref="N80:P80"/>
    <mergeCell ref="B81:M81"/>
    <mergeCell ref="N81:P81"/>
    <mergeCell ref="A82:M82"/>
    <mergeCell ref="N82:P82"/>
    <mergeCell ref="A83:P83"/>
    <mergeCell ref="A84:P84"/>
    <mergeCell ref="A86:P86"/>
    <mergeCell ref="B87:M87"/>
    <mergeCell ref="N87:P87"/>
    <mergeCell ref="B88:M88"/>
    <mergeCell ref="N88:P88"/>
    <mergeCell ref="B89:M89"/>
    <mergeCell ref="N89:P89"/>
    <mergeCell ref="B90:M90"/>
    <mergeCell ref="N90:P90"/>
    <mergeCell ref="A91:M91"/>
    <mergeCell ref="N91:P91"/>
    <mergeCell ref="A93:P93"/>
    <mergeCell ref="B94:M94"/>
    <mergeCell ref="N94:P94"/>
    <mergeCell ref="B95:M95"/>
    <mergeCell ref="N95:P95"/>
    <mergeCell ref="B96:M96"/>
    <mergeCell ref="N96:P96"/>
    <mergeCell ref="B97:M97"/>
    <mergeCell ref="N97:P97"/>
    <mergeCell ref="B98:M98"/>
    <mergeCell ref="N98:P98"/>
    <mergeCell ref="B99:M99"/>
    <mergeCell ref="N99:P99"/>
    <mergeCell ref="B100:M100"/>
    <mergeCell ref="N100:P100"/>
    <mergeCell ref="A101:M101"/>
    <mergeCell ref="N101:P101"/>
    <mergeCell ref="A104:P104"/>
    <mergeCell ref="A105:P105"/>
    <mergeCell ref="A106:P106"/>
    <mergeCell ref="A108:P108"/>
    <mergeCell ref="B109:M109"/>
    <mergeCell ref="N109:P109"/>
    <mergeCell ref="B110:M110"/>
    <mergeCell ref="N110:P110"/>
    <mergeCell ref="B111:M111"/>
    <mergeCell ref="N111:P111"/>
    <mergeCell ref="B112:M112"/>
    <mergeCell ref="N112:P112"/>
    <mergeCell ref="B113:M113"/>
    <mergeCell ref="N113:P113"/>
    <mergeCell ref="B114:M114"/>
    <mergeCell ref="N114:P114"/>
    <mergeCell ref="B115:M115"/>
    <mergeCell ref="N115:P115"/>
    <mergeCell ref="B116:M116"/>
    <mergeCell ref="N116:P116"/>
    <mergeCell ref="A117:M117"/>
    <mergeCell ref="N117:P117"/>
    <mergeCell ref="A118:P118"/>
    <mergeCell ref="A120:P120"/>
    <mergeCell ref="B121:M121"/>
    <mergeCell ref="N121:P121"/>
    <mergeCell ref="B122:M122"/>
    <mergeCell ref="N122:P122"/>
    <mergeCell ref="A123:M123"/>
    <mergeCell ref="N123:P123"/>
    <mergeCell ref="A124:P124"/>
    <mergeCell ref="A126:P126"/>
    <mergeCell ref="B127:M127"/>
    <mergeCell ref="N127:P127"/>
    <mergeCell ref="B128:M128"/>
    <mergeCell ref="N128:P128"/>
    <mergeCell ref="B129:M129"/>
    <mergeCell ref="N129:P129"/>
    <mergeCell ref="A130:M130"/>
    <mergeCell ref="N130:P130"/>
    <mergeCell ref="A132:P132"/>
    <mergeCell ref="B133:M133"/>
    <mergeCell ref="N133:P133"/>
    <mergeCell ref="B134:M134"/>
    <mergeCell ref="N134:P134"/>
    <mergeCell ref="B135:M135"/>
    <mergeCell ref="N135:P135"/>
    <mergeCell ref="B136:M136"/>
    <mergeCell ref="N136:P136"/>
    <mergeCell ref="A137:M137"/>
    <mergeCell ref="N137:P137"/>
    <mergeCell ref="A138:P138"/>
    <mergeCell ref="A140:P140"/>
    <mergeCell ref="B141:K141"/>
    <mergeCell ref="L141:M141"/>
    <mergeCell ref="N141:P141"/>
    <mergeCell ref="B142:K142"/>
    <mergeCell ref="L142:M142"/>
    <mergeCell ref="N142:P142"/>
    <mergeCell ref="B143:K143"/>
    <mergeCell ref="L143:M143"/>
    <mergeCell ref="N143:P143"/>
    <mergeCell ref="B144:K144"/>
    <mergeCell ref="L144:M144"/>
    <mergeCell ref="N144:P144"/>
    <mergeCell ref="B145:K145"/>
    <mergeCell ref="L145:M145"/>
    <mergeCell ref="N145:P145"/>
    <mergeCell ref="B146:K146"/>
    <mergeCell ref="L146:M146"/>
    <mergeCell ref="N146:P146"/>
    <mergeCell ref="B147:K147"/>
    <mergeCell ref="L147:M147"/>
    <mergeCell ref="N147:P147"/>
    <mergeCell ref="A148:K148"/>
    <mergeCell ref="L148:M148"/>
    <mergeCell ref="N148:P148"/>
    <mergeCell ref="A149:P149"/>
    <mergeCell ref="A150:P150"/>
    <mergeCell ref="A152:P152"/>
    <mergeCell ref="B153:M153"/>
    <mergeCell ref="N153:P153"/>
    <mergeCell ref="B154:M154"/>
    <mergeCell ref="N154:P154"/>
    <mergeCell ref="N159:P159"/>
    <mergeCell ref="B160:M160"/>
    <mergeCell ref="N160:P160"/>
    <mergeCell ref="B155:M155"/>
    <mergeCell ref="N155:P155"/>
    <mergeCell ref="B156:M156"/>
    <mergeCell ref="N156:P156"/>
    <mergeCell ref="B157:M157"/>
    <mergeCell ref="N157:P157"/>
    <mergeCell ref="A161:M161"/>
    <mergeCell ref="N161:P161"/>
    <mergeCell ref="A162:M162"/>
    <mergeCell ref="N162:P162"/>
    <mergeCell ref="A17:D19"/>
    <mergeCell ref="E17:M19"/>
    <mergeCell ref="N17:P19"/>
    <mergeCell ref="B158:M158"/>
    <mergeCell ref="N158:P158"/>
    <mergeCell ref="A159:M159"/>
  </mergeCells>
  <pageMargins left="0.511811024" right="0.511811024" top="0.78740157499999996" bottom="0.78740157499999996" header="0.31496062000000002" footer="0.31496062000000002"/>
  <pageSetup paperSize="9" scale="64" orientation="portrait" r:id="rId1"/>
  <rowBreaks count="2" manualBreakCount="2">
    <brk id="42" max="16383" man="1"/>
    <brk id="96"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49</vt:i4>
      </vt:variant>
      <vt:variant>
        <vt:lpstr>Intervalos Nomeados</vt:lpstr>
      </vt:variant>
      <vt:variant>
        <vt:i4>9</vt:i4>
      </vt:variant>
    </vt:vector>
  </HeadingPairs>
  <TitlesOfParts>
    <vt:vector size="58" baseType="lpstr">
      <vt:lpstr>Postos por Campus</vt:lpstr>
      <vt:lpstr>GLOBALIZADORA</vt:lpstr>
      <vt:lpstr>Compl. vigilância</vt:lpstr>
      <vt:lpstr>Compl. limpeza</vt:lpstr>
      <vt:lpstr>VR antigo até 18.08</vt:lpstr>
      <vt:lpstr>VR antigo após 18.08</vt:lpstr>
      <vt:lpstr>Quadro resumo por lote</vt:lpstr>
      <vt:lpstr>BASE DE CÁLCULO</vt:lpstr>
      <vt:lpstr>Armazenista Item 1.01</vt:lpstr>
      <vt:lpstr>At. de Refeitório Item 1.02</vt:lpstr>
      <vt:lpstr>Aux. Cozinha I Item 1.03</vt:lpstr>
      <vt:lpstr>Aux. Cozinha II Item 1.04</vt:lpstr>
      <vt:lpstr>Aux. Cozinha III Item 1.05</vt:lpstr>
      <vt:lpstr>Cozinheiro Item 1.06</vt:lpstr>
      <vt:lpstr>ASG I Item 1.07</vt:lpstr>
      <vt:lpstr>ASG II Item 1.08</vt:lpstr>
      <vt:lpstr>Sup. de Cozinha Item 1.09</vt:lpstr>
      <vt:lpstr>Enc. Serviços Gerais Item 1.10</vt:lpstr>
      <vt:lpstr>Enc. de Manutenção Item 1.11</vt:lpstr>
      <vt:lpstr>Aux. de Manutenção Item 1.12</vt:lpstr>
      <vt:lpstr>Op. Câm. Frigorífica Item 1.13</vt:lpstr>
      <vt:lpstr>Armazenista Item 2.01</vt:lpstr>
      <vt:lpstr>At. de Refeitório Item 2.02</vt:lpstr>
      <vt:lpstr>Aux. Cozinha I Item 2.03</vt:lpstr>
      <vt:lpstr>Aux. Cozinha II Item 2.04</vt:lpstr>
      <vt:lpstr>Aux. Cozinha III Item 2.05</vt:lpstr>
      <vt:lpstr>Cozinheiro Item 2.06</vt:lpstr>
      <vt:lpstr>ASG I Item 2.07</vt:lpstr>
      <vt:lpstr>ASG II Item 2.08</vt:lpstr>
      <vt:lpstr>Sup. de Cozinha Item 2.09</vt:lpstr>
      <vt:lpstr> Oficial de Manut. Item 2.10</vt:lpstr>
      <vt:lpstr>Armazenista Item 3.01</vt:lpstr>
      <vt:lpstr>At. de Refeitório Item 3.02</vt:lpstr>
      <vt:lpstr>Aux. Cozinha I Item 3.03</vt:lpstr>
      <vt:lpstr>Aux. Cozinha II Item 3.04</vt:lpstr>
      <vt:lpstr>Aux. Cozinha III Item 3.05</vt:lpstr>
      <vt:lpstr>Cozinheiro Item 3.06</vt:lpstr>
      <vt:lpstr>ASG I Item 3.07</vt:lpstr>
      <vt:lpstr>ASG II Item 3.08</vt:lpstr>
      <vt:lpstr>Sup. de Cozinha Item 3.09</vt:lpstr>
      <vt:lpstr>Oficial de Manut. Item 3.10</vt:lpstr>
      <vt:lpstr>Depreciação mensal - Vitória</vt:lpstr>
      <vt:lpstr>Depreciação mensal - Alegre&amp;JM</vt:lpstr>
      <vt:lpstr>Depreciação mensal - São Mateus</vt:lpstr>
      <vt:lpstr>Materiais Vitória</vt:lpstr>
      <vt:lpstr>Materiais Alegre&amp;JM</vt:lpstr>
      <vt:lpstr>Materiais São Mateus</vt:lpstr>
      <vt:lpstr>Modelo - Quadro resumo por lote</vt:lpstr>
      <vt:lpstr>Modelo - Planilha por Posto</vt:lpstr>
      <vt:lpstr>'BASE DE CÁLCULO'!Area_de_impressao</vt:lpstr>
      <vt:lpstr>'Materiais São Mateus'!Area_de_impressao</vt:lpstr>
      <vt:lpstr>BS</vt:lpstr>
      <vt:lpstr>'BASE DE CÁLCULO'!Print_Area</vt:lpstr>
      <vt:lpstr>'Compl. limpeza'!Print_Area</vt:lpstr>
      <vt:lpstr>GLOBALIZADORA!Print_Area</vt:lpstr>
      <vt:lpstr>'Postos por Campus'!Print_Area</vt:lpstr>
      <vt:lpstr>'VR antigo após 18.08'!Print_Area</vt:lpstr>
      <vt:lpstr>'VR antigo até 18.08'!Print_Area</vt:lpstr>
    </vt:vector>
  </TitlesOfParts>
  <Company>ALPHA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Lucas</cp:lastModifiedBy>
  <cp:lastPrinted>2022-02-03T11:45:07Z</cp:lastPrinted>
  <dcterms:created xsi:type="dcterms:W3CDTF">2011-06-08T12:46:53Z</dcterms:created>
  <dcterms:modified xsi:type="dcterms:W3CDTF">2022-03-09T18:11:46Z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1046-11.2.0.10463</vt:lpwstr>
  </property>
  <property fmtid="{D5CDD505-2E9C-101B-9397-08002B2CF9AE}" pid="3" name="ICV">
    <vt:lpwstr>FEE0B977896549D7B1613728A4770B6B</vt:lpwstr>
  </property>
</Properties>
</file>